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139" i="1"/>
  <c r="F139"/>
  <c r="G126"/>
  <c r="G127"/>
  <c r="G130"/>
  <c r="G131"/>
  <c r="G132"/>
  <c r="G133"/>
  <c r="G134"/>
  <c r="G135"/>
  <c r="G136"/>
  <c r="G137"/>
  <c r="G138"/>
  <c r="G141"/>
  <c r="G148" s="1"/>
  <c r="G142"/>
  <c r="G143"/>
  <c r="G144"/>
  <c r="G145"/>
  <c r="G146"/>
  <c r="G147"/>
  <c r="F148"/>
  <c r="F84"/>
  <c r="G84" s="1"/>
  <c r="F104"/>
  <c r="G104" s="1"/>
  <c r="F103"/>
  <c r="G103" s="1"/>
  <c r="F118"/>
  <c r="G118" s="1"/>
  <c r="F94"/>
  <c r="G94" s="1"/>
  <c r="F98"/>
  <c r="G98" s="1"/>
  <c r="F105"/>
  <c r="G105" s="1"/>
  <c r="F97"/>
  <c r="G97" s="1"/>
  <c r="F58"/>
  <c r="G58" s="1"/>
  <c r="F14"/>
  <c r="G14" s="1"/>
  <c r="F13"/>
  <c r="G13" s="1"/>
  <c r="F57"/>
  <c r="G57" s="1"/>
  <c r="F96"/>
  <c r="G96" s="1"/>
  <c r="F95"/>
  <c r="G95" s="1"/>
  <c r="F93"/>
  <c r="G93" s="1"/>
  <c r="F92"/>
  <c r="G92" s="1"/>
  <c r="F91"/>
  <c r="G91" s="1"/>
  <c r="F90"/>
  <c r="G90" s="1"/>
  <c r="F88"/>
  <c r="G88" s="1"/>
  <c r="F70"/>
  <c r="G70" s="1"/>
  <c r="F69"/>
  <c r="G69" s="1"/>
  <c r="F107"/>
  <c r="G107" s="1"/>
  <c r="F106"/>
  <c r="G106" s="1"/>
  <c r="F15"/>
  <c r="G15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123"/>
  <c r="G123" s="1"/>
  <c r="F120"/>
  <c r="G120" s="1"/>
  <c r="F100"/>
  <c r="G100" s="1"/>
  <c r="F29"/>
  <c r="G29" s="1"/>
  <c r="F28"/>
  <c r="G28" s="1"/>
  <c r="F27"/>
  <c r="G27" s="1"/>
  <c r="F26"/>
  <c r="G26" s="1"/>
  <c r="F17"/>
  <c r="G17" s="1"/>
  <c r="F18"/>
  <c r="G18" s="1"/>
  <c r="F66"/>
  <c r="G66" s="1"/>
  <c r="F65"/>
  <c r="G65" s="1"/>
  <c r="F35"/>
  <c r="G35" s="1"/>
  <c r="F32"/>
  <c r="G32" s="1"/>
  <c r="F59"/>
  <c r="G59" s="1"/>
  <c r="F117"/>
  <c r="G117" s="1"/>
  <c r="F24"/>
  <c r="G24" s="1"/>
  <c r="F122"/>
  <c r="G122" s="1"/>
  <c r="F23"/>
  <c r="G23" s="1"/>
  <c r="F22"/>
  <c r="G22" s="1"/>
  <c r="F21"/>
  <c r="G21" s="1"/>
  <c r="F111"/>
  <c r="G111" s="1"/>
  <c r="F110"/>
  <c r="G110" s="1"/>
  <c r="F113"/>
  <c r="G113" s="1"/>
  <c r="F112"/>
  <c r="G112" s="1"/>
  <c r="F102"/>
  <c r="G102" s="1"/>
  <c r="F101"/>
  <c r="G101" s="1"/>
  <c r="F20"/>
  <c r="G20" s="1"/>
  <c r="F121"/>
  <c r="G121" s="1"/>
  <c r="F124"/>
  <c r="G124" s="1"/>
  <c r="F115"/>
  <c r="G115" s="1"/>
  <c r="F114"/>
  <c r="G114" s="1"/>
  <c r="F54"/>
  <c r="G54" s="1"/>
  <c r="F37"/>
  <c r="G37" s="1"/>
  <c r="F68"/>
  <c r="G68" s="1"/>
  <c r="F67"/>
  <c r="G67" s="1"/>
  <c r="F36"/>
  <c r="G36" s="1"/>
  <c r="F34"/>
  <c r="G34" s="1"/>
  <c r="F33"/>
  <c r="G33" s="1"/>
  <c r="F31"/>
  <c r="G31" s="1"/>
  <c r="F30"/>
  <c r="G30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63"/>
  <c r="G63" s="1"/>
  <c r="F62"/>
  <c r="G62" s="1"/>
  <c r="F61"/>
  <c r="G61" s="1"/>
  <c r="F56"/>
  <c r="G56" s="1"/>
  <c r="F11"/>
  <c r="G11" s="1"/>
  <c r="F8"/>
  <c r="G8" s="1"/>
  <c r="F55"/>
  <c r="G55" s="1"/>
  <c r="F7"/>
  <c r="G7" s="1"/>
  <c r="F6"/>
  <c r="G6" s="1"/>
  <c r="F12"/>
  <c r="G12" s="1"/>
  <c r="F41"/>
  <c r="G41" s="1"/>
  <c r="F40"/>
  <c r="G40" s="1"/>
  <c r="F39"/>
  <c r="G39" s="1"/>
  <c r="F60"/>
  <c r="G60" s="1"/>
  <c r="F38"/>
  <c r="G38" s="1"/>
  <c r="F64"/>
  <c r="G64" s="1"/>
  <c r="F10"/>
  <c r="G10" s="1"/>
  <c r="F86"/>
  <c r="G86" s="1"/>
  <c r="F109"/>
  <c r="G109" s="1"/>
  <c r="F108"/>
  <c r="G108" s="1"/>
  <c r="F89"/>
  <c r="G89" s="1"/>
  <c r="F87"/>
  <c r="G87" s="1"/>
  <c r="F85"/>
  <c r="G85" s="1"/>
  <c r="F83"/>
  <c r="G83" s="1"/>
  <c r="F82"/>
  <c r="G82" s="1"/>
  <c r="F81"/>
  <c r="G81" s="1"/>
  <c r="F99"/>
  <c r="G99" s="1"/>
  <c r="F25"/>
  <c r="G25" s="1"/>
  <c r="F9"/>
  <c r="G9" s="1"/>
  <c r="F16"/>
  <c r="G16" s="1"/>
  <c r="F125"/>
  <c r="G125" s="1"/>
  <c r="F119"/>
  <c r="G119" s="1"/>
  <c r="F116"/>
  <c r="G116" s="1"/>
  <c r="F19"/>
  <c r="G19" s="1"/>
  <c r="G128" l="1"/>
  <c r="G149" s="1"/>
  <c r="F128"/>
  <c r="F149" s="1"/>
</calcChain>
</file>

<file path=xl/sharedStrings.xml><?xml version="1.0" encoding="utf-8"?>
<sst xmlns="http://schemas.openxmlformats.org/spreadsheetml/2006/main" count="428" uniqueCount="268">
  <si>
    <t>Adres pkt. Poboru energii</t>
  </si>
  <si>
    <t>Nr ewidencyjny</t>
  </si>
  <si>
    <t>Grupa taryfowa</t>
  </si>
  <si>
    <t>Moc umowna</t>
  </si>
  <si>
    <t>Czerwonka      11-300 Biskupiec</t>
  </si>
  <si>
    <t>PL0037650127551581</t>
  </si>
  <si>
    <t>C11</t>
  </si>
  <si>
    <t>Wilimy                11-300 Biskupiec</t>
  </si>
  <si>
    <t>PL0037650134861341</t>
  </si>
  <si>
    <t>C12A</t>
  </si>
  <si>
    <t>Adamowo           11-300 Biskupiec</t>
  </si>
  <si>
    <t>PL0037650127647369</t>
  </si>
  <si>
    <t>Borki Wielkie     11-300 Biskupiec</t>
  </si>
  <si>
    <t>PL0037650127723959</t>
  </si>
  <si>
    <t>Lipowo              11-300 Biskupiec</t>
  </si>
  <si>
    <t>PL0037650127901791</t>
  </si>
  <si>
    <t>Józefowo           11-300 Biskupiec</t>
  </si>
  <si>
    <t>PL0037650127740329</t>
  </si>
  <si>
    <t>Węgój               11-300 Biskupiec</t>
  </si>
  <si>
    <t>PL0037650127532484</t>
  </si>
  <si>
    <t>PL0037650124985832</t>
  </si>
  <si>
    <t>ul. Harcerska s0220             11-300 Biskupiec</t>
  </si>
  <si>
    <t>Aleja Broni        11-300 Biskupiec</t>
  </si>
  <si>
    <t>PL0037650124995936</t>
  </si>
  <si>
    <t>ul. Świerczewskiego s0120               11-302 Biskupiec</t>
  </si>
  <si>
    <t>PL0037650125032918</t>
  </si>
  <si>
    <t>PL0037650035725927</t>
  </si>
  <si>
    <t>Oświetlenie uliczne ul. Przemysłowa     11-300 Biskupiec</t>
  </si>
  <si>
    <t>PL0037650126935330</t>
  </si>
  <si>
    <t>PL0037650126465686</t>
  </si>
  <si>
    <t>PL0037650126989587</t>
  </si>
  <si>
    <t>PL0037650126990193</t>
  </si>
  <si>
    <t>PL0037650127921090</t>
  </si>
  <si>
    <t xml:space="preserve">Węgój Wieś     11-300 Biskupiec </t>
  </si>
  <si>
    <t xml:space="preserve">Dymer              11-306 Kobułty </t>
  </si>
  <si>
    <t xml:space="preserve">ul. Wiosenna 1a 11-300 Biskupiec </t>
  </si>
  <si>
    <t xml:space="preserve">Kraksy              11-300 Biskupiec </t>
  </si>
  <si>
    <t>PL0037650127922003</t>
  </si>
  <si>
    <t>Labuch              11-300 Biskupiec</t>
  </si>
  <si>
    <t>PL0037650127922306</t>
  </si>
  <si>
    <t>Bredynki            11-300 Biskupiec</t>
  </si>
  <si>
    <t>PL0037650127925740</t>
  </si>
  <si>
    <t>Biesowo            11-300 Biskupiec</t>
  </si>
  <si>
    <t>PL0037620132998686</t>
  </si>
  <si>
    <t>Biesówko BN    11-300 Biskupiec</t>
  </si>
  <si>
    <t>PL0037620108326637</t>
  </si>
  <si>
    <t xml:space="preserve">Biesowo 32     11-300 Biskupiec </t>
  </si>
  <si>
    <t>PL0037620108327243</t>
  </si>
  <si>
    <t>PL0037620108327546</t>
  </si>
  <si>
    <t>Biesowo BN    11-300 Biskupiec</t>
  </si>
  <si>
    <t>Biesowo 26      11-300 Biskupiec</t>
  </si>
  <si>
    <t>PL0037620108331283</t>
  </si>
  <si>
    <t>ul. Matejki          11-300 Biskupiec</t>
  </si>
  <si>
    <t>PL0037650126464878</t>
  </si>
  <si>
    <t>Biskupiec 11-300</t>
  </si>
  <si>
    <t>PL0037650126465181</t>
  </si>
  <si>
    <t>ul. Kilińskiego   11-300 Biskupiec</t>
  </si>
  <si>
    <t>PL0037650126465282</t>
  </si>
  <si>
    <t>ul. Niepodległości 11-300 Biskupiec</t>
  </si>
  <si>
    <t>PL0037650126466090</t>
  </si>
  <si>
    <t>Żelazna           11-300 Biskupiec</t>
  </si>
  <si>
    <t>PL0037650126467306</t>
  </si>
  <si>
    <t>Armii Krajowej 11-300 Biskupiec</t>
  </si>
  <si>
    <t>PL0037650126469629</t>
  </si>
  <si>
    <t>Wojska Polskiego        11-300 Biskupiec</t>
  </si>
  <si>
    <t>PL0037650126994944</t>
  </si>
  <si>
    <t>Botówko          11-306 Kobułty</t>
  </si>
  <si>
    <t>PL0037650127920585</t>
  </si>
  <si>
    <t>PL0037650127923013</t>
  </si>
  <si>
    <t>PL0037650127925538</t>
  </si>
  <si>
    <t>Bredynki            11-304 Bredynki</t>
  </si>
  <si>
    <t>PL0037650127925942</t>
  </si>
  <si>
    <t>PL0037650126993934</t>
  </si>
  <si>
    <t>Piwna             11-300 Biskupiec</t>
  </si>
  <si>
    <t>Rasząg           11-307 Rzeck</t>
  </si>
  <si>
    <t>PL0037650127920383</t>
  </si>
  <si>
    <t>Botowo 75       11-306 Kobułty</t>
  </si>
  <si>
    <t>PL0037560127920686</t>
  </si>
  <si>
    <t>Labuszewo      11-306 Kobułty</t>
  </si>
  <si>
    <t>PL0037650127920888</t>
  </si>
  <si>
    <t>PL0037650127921191</t>
  </si>
  <si>
    <t>PL0037650127921696</t>
  </si>
  <si>
    <t>PL0037650127921902</t>
  </si>
  <si>
    <t>PL0037650127922104</t>
  </si>
  <si>
    <t>Labuch              11-310 Czerwonka</t>
  </si>
  <si>
    <t>PL0037650127922205</t>
  </si>
  <si>
    <t>PL0037650127922407</t>
  </si>
  <si>
    <t>PL0037650127922508</t>
  </si>
  <si>
    <t>Wólka Wielka  11-310 Czerwonka</t>
  </si>
  <si>
    <t>PL0037650127922609</t>
  </si>
  <si>
    <t>Stryjewo          11-300 Biskupiec</t>
  </si>
  <si>
    <t>PL0037650127922811</t>
  </si>
  <si>
    <t>PL0037650127920282</t>
  </si>
  <si>
    <t>Droszewo        11-310 Czerwonka</t>
  </si>
  <si>
    <t>PL0037650127604327</t>
  </si>
  <si>
    <t>Zabrodzie        11-300 Biskupiec</t>
  </si>
  <si>
    <t>PL0037650127748110</t>
  </si>
  <si>
    <t>PL0037650124939352</t>
  </si>
  <si>
    <t>Lazurowa s1407 11-300 Biskupiec</t>
  </si>
  <si>
    <t>PL0037650125014528</t>
  </si>
  <si>
    <t>PL0037650125017861</t>
  </si>
  <si>
    <t>Stanclewo       11-304 Bredynki</t>
  </si>
  <si>
    <t>PL0037650127925437</t>
  </si>
  <si>
    <t>Rukławki         11-307 Rzeck</t>
  </si>
  <si>
    <t>PL0037650127917656</t>
  </si>
  <si>
    <t>Rzeck             11-307 Rzeck</t>
  </si>
  <si>
    <t>PL0037650127918060</t>
  </si>
  <si>
    <t>Marcinkowo Nowe              11-300 Biskupiec</t>
  </si>
  <si>
    <t>PL0037650127918161</t>
  </si>
  <si>
    <t>Monitoring miejski Wawelska 2     11-300 Biskupiec</t>
  </si>
  <si>
    <t>PL0037650035643273</t>
  </si>
  <si>
    <t>Okrzei             11-300 Biskupiec</t>
  </si>
  <si>
    <t>PL0037650126989082</t>
  </si>
  <si>
    <t>Mickiewicza    11-300 Biskupiec</t>
  </si>
  <si>
    <t>PL0037650126992924</t>
  </si>
  <si>
    <t>PL0037650126995045</t>
  </si>
  <si>
    <t>Kojtryny          11-300 Bskupiec</t>
  </si>
  <si>
    <t>PL0037650127919070</t>
  </si>
  <si>
    <t>1 Maja 6          11-300 Biskupiec</t>
  </si>
  <si>
    <t>PL0037650125701511</t>
  </si>
  <si>
    <t>Ogrodowa        11-300 Biskupiec</t>
  </si>
  <si>
    <t>PL0037650125054843</t>
  </si>
  <si>
    <t>Aleja Róż        11-300 Biskupiec</t>
  </si>
  <si>
    <t>PL0037650125056964</t>
  </si>
  <si>
    <t>Słowackiego    11-300 Biskupiec</t>
  </si>
  <si>
    <t>PL0037650125057065</t>
  </si>
  <si>
    <t>Chmielówka     11-300 Biskupiec</t>
  </si>
  <si>
    <t>PL0037650127903512</t>
  </si>
  <si>
    <t>Rudziska         11-300 Biskupiec</t>
  </si>
  <si>
    <t>PL0037650127904017</t>
  </si>
  <si>
    <t>PL0037650127904118</t>
  </si>
  <si>
    <t>Kobułty           11-306 Kobułty</t>
  </si>
  <si>
    <t>PL0037650127904320</t>
  </si>
  <si>
    <t>PL0037650127904623</t>
  </si>
  <si>
    <t>PL0037650127905027</t>
  </si>
  <si>
    <t>PL0037650127905734</t>
  </si>
  <si>
    <t>Mojtyny            11-306 Kobułty</t>
  </si>
  <si>
    <t>PL0037650127905936</t>
  </si>
  <si>
    <t>Parleza Wielka 11-300 Biskupiec</t>
  </si>
  <si>
    <t>PL0037650127907754</t>
  </si>
  <si>
    <t>PL0037650127908057</t>
  </si>
  <si>
    <t>Sadowo 11-305 Borki Wielkie</t>
  </si>
  <si>
    <t>PL0037650127908158</t>
  </si>
  <si>
    <t>PL0037650127908360</t>
  </si>
  <si>
    <t>PL0037650127908461</t>
  </si>
  <si>
    <t>Sadowo           11-300 Biskupiec</t>
  </si>
  <si>
    <t xml:space="preserve">Kamionka        11-305 Borki Wielkie </t>
  </si>
  <si>
    <t>PL0037650127908562</t>
  </si>
  <si>
    <t>PL0037650127908663</t>
  </si>
  <si>
    <t>Najdymowo     11-310 Czerwonka</t>
  </si>
  <si>
    <t>PL0037650127912000</t>
  </si>
  <si>
    <t>Czerwonka      11-310 Czerwonka</t>
  </si>
  <si>
    <t>PL0037650127912606</t>
  </si>
  <si>
    <t>Zarębiec          11-331 Biesowo</t>
  </si>
  <si>
    <t>PL0037650127912707</t>
  </si>
  <si>
    <t>PL0037650127913010</t>
  </si>
  <si>
    <t>Wilimy                11-310 Czerwonka</t>
  </si>
  <si>
    <t>PL0037650127913212</t>
  </si>
  <si>
    <t>PL0037650125055247</t>
  </si>
  <si>
    <t>Szpitalna         11-300 Biskupiec</t>
  </si>
  <si>
    <t>PL0037650125702723</t>
  </si>
  <si>
    <t>Zarębiec          11-300 Biskupiec</t>
  </si>
  <si>
    <t>PL0037650127911188</t>
  </si>
  <si>
    <t>Chrobrego       11-300 Biskupiec</t>
  </si>
  <si>
    <t>PL0037650125053328</t>
  </si>
  <si>
    <t>1 Maja 17          11-300 Biskupiec</t>
  </si>
  <si>
    <t>PL0037650125701309</t>
  </si>
  <si>
    <t>Węzeł Biskupiec- Zasilanie oświetlenia drogowego</t>
  </si>
  <si>
    <t>C12B</t>
  </si>
  <si>
    <t>PL0037650035726533</t>
  </si>
  <si>
    <t>Kopernika s1167 11-300 Biskupiec</t>
  </si>
  <si>
    <t>Botowo           11-306 Kobułty</t>
  </si>
  <si>
    <t>PL0037650127920484</t>
  </si>
  <si>
    <t>Wilimy 206/4                11-310 Czerwonka</t>
  </si>
  <si>
    <t>PL0037650134528713</t>
  </si>
  <si>
    <t>G11</t>
  </si>
  <si>
    <t>Droszewo 14        11-310 Czerwonka</t>
  </si>
  <si>
    <t>PL0037650127606347</t>
  </si>
  <si>
    <t>PL0037650127909370</t>
  </si>
  <si>
    <t>Droszewo         11-310 Czerwonka</t>
  </si>
  <si>
    <t>PL0037650127910885</t>
  </si>
  <si>
    <t>PL0037650125596023</t>
  </si>
  <si>
    <t>Plac Wolności dz.114/3          11-300 Biskupiec</t>
  </si>
  <si>
    <t>PL0037650127902805</t>
  </si>
  <si>
    <t>PL0037650127903310</t>
  </si>
  <si>
    <t>Rudziska         11-300 Biskupiec (świetlica)</t>
  </si>
  <si>
    <t>Kobułty           11-300 Biskupiec (remiza)</t>
  </si>
  <si>
    <t>PL0037650127906845</t>
  </si>
  <si>
    <t>Borki Wielkie     11-300 Biskupiec (świetlica)</t>
  </si>
  <si>
    <t>PL0037650127907148</t>
  </si>
  <si>
    <t>Sadowo 11-300 Biskupiec (świetlica)</t>
  </si>
  <si>
    <t>PL0037650127917757</t>
  </si>
  <si>
    <t>Rukławki 17        11-307 Rzeck (świetlica)</t>
  </si>
  <si>
    <t>PL0037650127917959</t>
  </si>
  <si>
    <t>Rzeck             11-300 Biskupiec (świetlica)</t>
  </si>
  <si>
    <t>PL0037650127669803</t>
  </si>
  <si>
    <t>Rukławki         11-300 Biskupiec</t>
  </si>
  <si>
    <t>Mojtyny Dz.267           11-306 Kobułty</t>
  </si>
  <si>
    <t>PL0037650127771752</t>
  </si>
  <si>
    <t>PL0037650127923518</t>
  </si>
  <si>
    <t>PL0037650127923417</t>
  </si>
  <si>
    <t>Botowo           11-300 Biskupiec</t>
  </si>
  <si>
    <t>PL0037650127920787</t>
  </si>
  <si>
    <t>PL0037650127740430</t>
  </si>
  <si>
    <t>Rasząg dz.7/29          11-300 Biskupiec</t>
  </si>
  <si>
    <t>PL0037650134529521</t>
  </si>
  <si>
    <t>Obiekt sportowy Wiosenna 7/3  11-300 Biskupiec</t>
  </si>
  <si>
    <t>PL0037650035929728</t>
  </si>
  <si>
    <t>Budynek garażowy Droszewo        11-300 Biskupiec</t>
  </si>
  <si>
    <t>PL0037650127904825</t>
  </si>
  <si>
    <t>Dom Kultury Kobułty           11-300 Biskupiec</t>
  </si>
  <si>
    <t>PL0037650127711128</t>
  </si>
  <si>
    <t>Kojtryny          11-300 Bskupiec hydrofornia</t>
  </si>
  <si>
    <t>PL0037650127925235</t>
  </si>
  <si>
    <t>Stanclewo       11-300 Biskupiec Remiza</t>
  </si>
  <si>
    <t>PL0037650127753665</t>
  </si>
  <si>
    <t>Botowo           11-300 Biskupiec świetlica</t>
  </si>
  <si>
    <t>PL0037650127901892</t>
  </si>
  <si>
    <t>Lipowo          Dział 2/31             11-300 Biskupiec</t>
  </si>
  <si>
    <t>PL0037650127909471</t>
  </si>
  <si>
    <t>Niepodległości 2                      11-300 Biskupiec Urząd Miejski w Biskupcu</t>
  </si>
  <si>
    <t>Żółkiewskiego  11-300 Biskupiec Spółdzielnia mieszkaniowa</t>
  </si>
  <si>
    <t>ul.Śmiała            11-300 Biskupiec</t>
  </si>
  <si>
    <t>PL0037650126993429</t>
  </si>
  <si>
    <t>Hala Sportowa  Aleja Broni dz.43/5 11-300 Biskupiec</t>
  </si>
  <si>
    <t>PL0037650033674678</t>
  </si>
  <si>
    <t>PL0037650127909269</t>
  </si>
  <si>
    <t>C21</t>
  </si>
  <si>
    <t>C12a</t>
  </si>
  <si>
    <t>Razem</t>
  </si>
  <si>
    <t xml:space="preserve"> Gimnazjum nr 1 im. Mikołaja Kopernika w Biskupcu</t>
  </si>
  <si>
    <t>PL0037650033573537</t>
  </si>
  <si>
    <t>Szkoła Podstawowa nr 2 ul.Mickiewicza         11-300 Biskupiec</t>
  </si>
  <si>
    <t>PL0037650126993025</t>
  </si>
  <si>
    <t>gastronomia Szkoła Podstawa nr 2 w Biskupcu ul.Sądowa           11-300 Biskupiec</t>
  </si>
  <si>
    <t>PL0037650125056358</t>
  </si>
  <si>
    <t>Przedszkole Samorządowe Nr 5 Al.Niepodległości 19 11-300 Biskupiec</t>
  </si>
  <si>
    <t>PL0037650033513923</t>
  </si>
  <si>
    <t>Szkoła Podstawowa Nr 3      ul.Chrobrego 15 Biskupiec Reszelski  11-300 Biskupiec</t>
  </si>
  <si>
    <t>PL0037650033573436</t>
  </si>
  <si>
    <t>Zespół Szkół w Kobułtach              Kobułty 80            11-300 Biskupiec</t>
  </si>
  <si>
    <t>PL0037650127904926</t>
  </si>
  <si>
    <t xml:space="preserve"> Zespół Szkół w Czerwonce Czerwonka 15        11-300 Biskupiec (szkoła)</t>
  </si>
  <si>
    <t>PL0037650127912505</t>
  </si>
  <si>
    <t xml:space="preserve"> Zespół Szkół w Czerwonce Czerwonka 15         11-300 Biskupiec  sala gimnastyczna</t>
  </si>
  <si>
    <t>PL0037650035663683</t>
  </si>
  <si>
    <t>garaż Al.Niepodległości 1 11-300 Biskupiec</t>
  </si>
  <si>
    <t>PL0037650126468619</t>
  </si>
  <si>
    <t>Płatnik: Zarząd Szkół i Przedszkoli w Biskupcu, al. Niepodległosci 4A, 11-300 Biskupiec</t>
  </si>
  <si>
    <t>Płatnik: Gmina Biskupiec, Al.. Niepodległości 2, 11-300 Biskupiec</t>
  </si>
  <si>
    <t>Dom Pracy Twórczej „SORBONA” ul.Wawelska 2      11-300 Biskupiec</t>
  </si>
  <si>
    <t>PL0037650035640344</t>
  </si>
  <si>
    <t>Biuro         ul.Matejki 5        11-300 Biskupiec</t>
  </si>
  <si>
    <t>PL0037650126465080</t>
  </si>
  <si>
    <t>ul.Konstytucji 3 Maja                      11-300 Biskupiec</t>
  </si>
  <si>
    <t>PL0037650126397281</t>
  </si>
  <si>
    <t>Świetlica wiejska Kobułty              dz.280                11-300 Biskupiec</t>
  </si>
  <si>
    <t>PL0037650135453344</t>
  </si>
  <si>
    <t xml:space="preserve"> Klub      Najdymowo         11-300 Biskupiec</t>
  </si>
  <si>
    <t>Świetlica wiejska Stanclewo dz.350/2 11-300 Biskupiec</t>
  </si>
  <si>
    <t>PL0037650135452435</t>
  </si>
  <si>
    <t>Klub               Parleza Wielka       11-300 Biskupiec</t>
  </si>
  <si>
    <t>PL0037650127907350</t>
  </si>
  <si>
    <t>Płatnik: Biskupiecki Dom Kutury, ul. Matejki 5, 11-300 Biskupiec</t>
  </si>
  <si>
    <t>Lp.</t>
  </si>
  <si>
    <t>Zużycie energi w 2013 r</t>
  </si>
  <si>
    <t>Ogółem</t>
  </si>
  <si>
    <t>Zużycie energi w przewidywanym czasie realizacji zamówienia -  15 miesięcy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</si>
</sst>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Tahoma"/>
      <family val="2"/>
      <charset val="238"/>
    </font>
    <font>
      <b/>
      <sz val="10"/>
      <name val="Arial CE"/>
      <charset val="238"/>
    </font>
    <font>
      <sz val="11"/>
      <name val="Calibri"/>
      <family val="2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10"/>
      <name val="Tahoma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2" xfId="0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center" wrapText="1"/>
    </xf>
    <xf numFmtId="0" fontId="3" fillId="3" borderId="5" xfId="0" applyFont="1" applyFill="1" applyBorder="1" applyAlignment="1"/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wrapText="1"/>
    </xf>
    <xf numFmtId="1" fontId="3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8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left" wrapText="1"/>
    </xf>
    <xf numFmtId="1" fontId="3" fillId="0" borderId="3" xfId="0" applyNumberFormat="1" applyFont="1" applyFill="1" applyBorder="1" applyAlignment="1">
      <alignment horizontal="left"/>
    </xf>
    <xf numFmtId="4" fontId="0" fillId="0" borderId="0" xfId="0" applyNumberFormat="1"/>
    <xf numFmtId="0" fontId="0" fillId="0" borderId="0" xfId="0" applyBorder="1"/>
    <xf numFmtId="0" fontId="0" fillId="0" borderId="7" xfId="0" applyBorder="1"/>
    <xf numFmtId="0" fontId="3" fillId="0" borderId="3" xfId="0" applyNumberFormat="1" applyFont="1" applyFill="1" applyBorder="1" applyAlignment="1" applyProtection="1">
      <alignment wrapText="1"/>
    </xf>
    <xf numFmtId="0" fontId="8" fillId="0" borderId="3" xfId="0" applyFont="1" applyFill="1" applyBorder="1" applyAlignment="1">
      <alignment horizontal="center"/>
    </xf>
    <xf numFmtId="0" fontId="0" fillId="0" borderId="0" xfId="0" applyFont="1"/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2" fontId="0" fillId="0" borderId="0" xfId="0" applyNumberFormat="1"/>
    <xf numFmtId="4" fontId="4" fillId="0" borderId="0" xfId="0" applyNumberFormat="1" applyFont="1"/>
    <xf numFmtId="0" fontId="9" fillId="0" borderId="0" xfId="0" applyFont="1"/>
    <xf numFmtId="1" fontId="3" fillId="0" borderId="10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4" fontId="0" fillId="0" borderId="2" xfId="0" applyNumberFormat="1" applyBorder="1"/>
    <xf numFmtId="0" fontId="0" fillId="0" borderId="12" xfId="0" applyBorder="1" applyAlignment="1">
      <alignment horizontal="right"/>
    </xf>
    <xf numFmtId="1" fontId="3" fillId="0" borderId="10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4" fillId="0" borderId="7" xfId="0" applyNumberFormat="1" applyFont="1" applyBorder="1"/>
    <xf numFmtId="4" fontId="0" fillId="0" borderId="4" xfId="0" applyNumberForma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50"/>
  <sheetViews>
    <sheetView tabSelected="1" topLeftCell="A135" workbookViewId="0">
      <selection activeCell="K148" sqref="K148"/>
    </sheetView>
  </sheetViews>
  <sheetFormatPr defaultRowHeight="12.75"/>
  <cols>
    <col min="1" max="1" width="6.85546875" style="1" customWidth="1"/>
    <col min="2" max="2" width="19.28515625" style="3" bestFit="1" customWidth="1"/>
    <col min="3" max="3" width="21.28515625" bestFit="1" customWidth="1"/>
    <col min="4" max="4" width="9.7109375" customWidth="1"/>
    <col min="5" max="5" width="13.28515625" style="2" bestFit="1" customWidth="1"/>
    <col min="6" max="6" width="13.28515625" bestFit="1" customWidth="1"/>
    <col min="7" max="7" width="22.7109375" style="37" bestFit="1" customWidth="1"/>
    <col min="8" max="8" width="10.140625" style="37" bestFit="1" customWidth="1"/>
    <col min="9" max="9" width="11.28515625" style="37" bestFit="1" customWidth="1"/>
    <col min="10" max="10" width="9.85546875" style="37" bestFit="1" customWidth="1"/>
    <col min="11" max="12" width="11" style="37" bestFit="1" customWidth="1"/>
    <col min="14" max="14" width="10.42578125" bestFit="1" customWidth="1"/>
  </cols>
  <sheetData>
    <row r="3" spans="1:7" ht="6.75" customHeight="1"/>
    <row r="4" spans="1:7" ht="27.75" customHeight="1">
      <c r="A4" s="24" t="s">
        <v>249</v>
      </c>
    </row>
    <row r="5" spans="1:7" ht="51">
      <c r="A5" s="45" t="s">
        <v>264</v>
      </c>
      <c r="B5" s="4" t="s">
        <v>0</v>
      </c>
      <c r="C5" s="5" t="s">
        <v>1</v>
      </c>
      <c r="D5" s="4" t="s">
        <v>2</v>
      </c>
      <c r="E5" s="4" t="s">
        <v>3</v>
      </c>
      <c r="F5" s="4" t="s">
        <v>265</v>
      </c>
      <c r="G5" s="4" t="s">
        <v>267</v>
      </c>
    </row>
    <row r="6" spans="1:7" ht="50.25" customHeight="1">
      <c r="A6" s="44">
        <v>1</v>
      </c>
      <c r="B6" s="4" t="s">
        <v>4</v>
      </c>
      <c r="C6" s="6" t="s">
        <v>5</v>
      </c>
      <c r="D6" s="7" t="s">
        <v>6</v>
      </c>
      <c r="E6" s="8">
        <v>6</v>
      </c>
      <c r="F6" s="52">
        <f>407+1938+1044+429+429+388+388+1104+1104</f>
        <v>7231</v>
      </c>
      <c r="G6" s="51">
        <f>F6/12*15</f>
        <v>9038.75</v>
      </c>
    </row>
    <row r="7" spans="1:7" ht="25.5">
      <c r="A7" s="44">
        <v>2</v>
      </c>
      <c r="B7" s="4" t="s">
        <v>7</v>
      </c>
      <c r="C7" s="6" t="s">
        <v>8</v>
      </c>
      <c r="D7" s="7" t="s">
        <v>9</v>
      </c>
      <c r="E7" s="8">
        <v>8</v>
      </c>
      <c r="F7" s="52">
        <f>39+135+116+580+97+274+77+212+1799+291+215+215+227+227</f>
        <v>4504</v>
      </c>
      <c r="G7" s="51">
        <f t="shared" ref="G7:G70" si="0">F7/12*15</f>
        <v>5630</v>
      </c>
    </row>
    <row r="8" spans="1:7" ht="25.5">
      <c r="A8" s="44">
        <v>3</v>
      </c>
      <c r="B8" s="4" t="s">
        <v>10</v>
      </c>
      <c r="C8" s="6" t="s">
        <v>11</v>
      </c>
      <c r="D8" s="7" t="s">
        <v>6</v>
      </c>
      <c r="E8" s="8">
        <v>0.5</v>
      </c>
      <c r="F8" s="52">
        <f>77+364+215+96+96+48+48+223+223</f>
        <v>1390</v>
      </c>
      <c r="G8" s="51">
        <f t="shared" si="0"/>
        <v>1737.5</v>
      </c>
    </row>
    <row r="9" spans="1:7" ht="25.5">
      <c r="A9" s="44">
        <v>4</v>
      </c>
      <c r="B9" s="4" t="s">
        <v>12</v>
      </c>
      <c r="C9" s="6" t="s">
        <v>13</v>
      </c>
      <c r="D9" s="7" t="s">
        <v>9</v>
      </c>
      <c r="E9" s="8">
        <v>15</v>
      </c>
      <c r="F9" s="52">
        <f>351+1315+1266+6271+811+2356+2670+488+9632+3698-543-3155+2670+2670+9632+9632</f>
        <v>49764</v>
      </c>
      <c r="G9" s="51">
        <f t="shared" si="0"/>
        <v>62205</v>
      </c>
    </row>
    <row r="10" spans="1:7" ht="25.5">
      <c r="A10" s="44">
        <v>5</v>
      </c>
      <c r="B10" s="4" t="s">
        <v>14</v>
      </c>
      <c r="C10" s="6" t="s">
        <v>15</v>
      </c>
      <c r="D10" s="7" t="s">
        <v>6</v>
      </c>
      <c r="E10" s="8">
        <v>3</v>
      </c>
      <c r="F10" s="52">
        <f>341+1761+810+468+468+331+1137+331+1137</f>
        <v>6784</v>
      </c>
      <c r="G10" s="51">
        <f t="shared" si="0"/>
        <v>8480</v>
      </c>
    </row>
    <row r="11" spans="1:7" ht="25.5">
      <c r="A11" s="44">
        <v>6</v>
      </c>
      <c r="B11" s="4" t="s">
        <v>16</v>
      </c>
      <c r="C11" s="6" t="s">
        <v>17</v>
      </c>
      <c r="D11" s="7" t="s">
        <v>6</v>
      </c>
      <c r="E11" s="8">
        <v>0.5</v>
      </c>
      <c r="F11" s="52">
        <f>62+255+150+130+130+97+97+63+63+86+86</f>
        <v>1219</v>
      </c>
      <c r="G11" s="51">
        <f t="shared" si="0"/>
        <v>1523.75</v>
      </c>
    </row>
    <row r="12" spans="1:7" ht="25.5">
      <c r="A12" s="44">
        <v>7</v>
      </c>
      <c r="B12" s="4" t="s">
        <v>18</v>
      </c>
      <c r="C12" s="6" t="s">
        <v>19</v>
      </c>
      <c r="D12" s="7" t="s">
        <v>6</v>
      </c>
      <c r="E12" s="8">
        <v>0.5</v>
      </c>
      <c r="F12" s="52">
        <f>36+386+131+137+137+219+219+147+147+79+79</f>
        <v>1717</v>
      </c>
      <c r="G12" s="51">
        <f t="shared" si="0"/>
        <v>2146.25</v>
      </c>
    </row>
    <row r="13" spans="1:7" ht="25.5">
      <c r="A13" s="44">
        <v>8</v>
      </c>
      <c r="B13" s="4" t="s">
        <v>21</v>
      </c>
      <c r="C13" s="6" t="s">
        <v>20</v>
      </c>
      <c r="D13" s="7" t="s">
        <v>9</v>
      </c>
      <c r="E13" s="8">
        <v>3</v>
      </c>
      <c r="F13" s="52">
        <f>98+192+374+697+685+685+432+432+361+361+589+589</f>
        <v>5495</v>
      </c>
      <c r="G13" s="51">
        <f t="shared" si="0"/>
        <v>6868.75</v>
      </c>
    </row>
    <row r="14" spans="1:7" ht="25.5">
      <c r="A14" s="44">
        <v>9</v>
      </c>
      <c r="B14" s="4" t="s">
        <v>22</v>
      </c>
      <c r="C14" s="6" t="s">
        <v>23</v>
      </c>
      <c r="D14" s="7" t="s">
        <v>6</v>
      </c>
      <c r="E14" s="8">
        <v>10</v>
      </c>
      <c r="F14" s="52">
        <f>2240+7847+4633+4633+2385+2385+1329+1329+6052+6052</f>
        <v>38885</v>
      </c>
      <c r="G14" s="51">
        <f t="shared" si="0"/>
        <v>48606.25</v>
      </c>
    </row>
    <row r="15" spans="1:7" ht="55.5" customHeight="1">
      <c r="A15" s="44">
        <v>10</v>
      </c>
      <c r="B15" s="4" t="s">
        <v>24</v>
      </c>
      <c r="C15" s="6" t="s">
        <v>25</v>
      </c>
      <c r="D15" s="7" t="s">
        <v>9</v>
      </c>
      <c r="E15" s="8">
        <v>15</v>
      </c>
      <c r="F15" s="52">
        <f>387+881+1515+3303+3375+3375+1992+1992+1167+1167+3875+3875</f>
        <v>26904</v>
      </c>
      <c r="G15" s="51">
        <f t="shared" si="0"/>
        <v>33630</v>
      </c>
    </row>
    <row r="16" spans="1:7" ht="55.5" customHeight="1">
      <c r="A16" s="44">
        <v>11</v>
      </c>
      <c r="B16" s="4" t="s">
        <v>27</v>
      </c>
      <c r="C16" s="6" t="s">
        <v>26</v>
      </c>
      <c r="D16" s="7" t="s">
        <v>6</v>
      </c>
      <c r="E16" s="8">
        <v>6</v>
      </c>
      <c r="F16" s="52">
        <f>12+3798+602+623+602+1531+602</f>
        <v>7770</v>
      </c>
      <c r="G16" s="51">
        <f t="shared" si="0"/>
        <v>9712.5</v>
      </c>
    </row>
    <row r="17" spans="1:7" ht="54" customHeight="1">
      <c r="A17" s="44">
        <v>12</v>
      </c>
      <c r="B17" s="4" t="s">
        <v>221</v>
      </c>
      <c r="C17" s="6" t="s">
        <v>28</v>
      </c>
      <c r="D17" s="7" t="s">
        <v>9</v>
      </c>
      <c r="E17" s="8">
        <v>20</v>
      </c>
      <c r="F17" s="52">
        <f>(1360+4045+943+2805+531+1580+143+1492+3655+10758+228+671+697+7162+137+1431+111+1162+228+2376)/3</f>
        <v>13838.333333333334</v>
      </c>
      <c r="G17" s="51">
        <f t="shared" si="0"/>
        <v>17297.916666666668</v>
      </c>
    </row>
    <row r="18" spans="1:7" ht="51.75" customHeight="1">
      <c r="A18" s="44">
        <v>13</v>
      </c>
      <c r="B18" s="4" t="s">
        <v>220</v>
      </c>
      <c r="C18" s="6" t="s">
        <v>29</v>
      </c>
      <c r="D18" s="7" t="s">
        <v>6</v>
      </c>
      <c r="E18" s="8">
        <v>40</v>
      </c>
      <c r="F18" s="52">
        <f>9708+8027+8027+6730+6730+7670+7670+6975+6975+7789+7789</f>
        <v>84090</v>
      </c>
      <c r="G18" s="51">
        <f t="shared" si="0"/>
        <v>105112.5</v>
      </c>
    </row>
    <row r="19" spans="1:7" ht="54" customHeight="1">
      <c r="A19" s="44">
        <v>14</v>
      </c>
      <c r="B19" s="4" t="s">
        <v>36</v>
      </c>
      <c r="C19" s="6" t="s">
        <v>30</v>
      </c>
      <c r="D19" s="7" t="s">
        <v>6</v>
      </c>
      <c r="E19" s="8">
        <v>12</v>
      </c>
      <c r="F19" s="52">
        <f>0</f>
        <v>0</v>
      </c>
      <c r="G19" s="51">
        <f t="shared" si="0"/>
        <v>0</v>
      </c>
    </row>
    <row r="20" spans="1:7" ht="25.5">
      <c r="A20" s="44">
        <v>15</v>
      </c>
      <c r="B20" s="4" t="s">
        <v>35</v>
      </c>
      <c r="C20" s="6" t="s">
        <v>31</v>
      </c>
      <c r="D20" s="7" t="s">
        <v>6</v>
      </c>
      <c r="E20" s="8">
        <v>20</v>
      </c>
      <c r="F20" s="52">
        <f>6617+5784+5989+5989+3947+3947+1055+1055+11379+11379</f>
        <v>57141</v>
      </c>
      <c r="G20" s="51">
        <f t="shared" si="0"/>
        <v>71426.25</v>
      </c>
    </row>
    <row r="21" spans="1:7" ht="25.5">
      <c r="A21" s="44">
        <v>16</v>
      </c>
      <c r="B21" s="4" t="s">
        <v>34</v>
      </c>
      <c r="C21" s="6" t="s">
        <v>32</v>
      </c>
      <c r="D21" s="7" t="s">
        <v>6</v>
      </c>
      <c r="E21" s="8">
        <v>2</v>
      </c>
      <c r="F21" s="52">
        <f>36+8+8+10+10+74+74</f>
        <v>220</v>
      </c>
      <c r="G21" s="51">
        <f t="shared" si="0"/>
        <v>275</v>
      </c>
    </row>
    <row r="22" spans="1:7" ht="51" customHeight="1">
      <c r="A22" s="44">
        <v>17</v>
      </c>
      <c r="B22" s="4" t="s">
        <v>33</v>
      </c>
      <c r="C22" s="6" t="s">
        <v>37</v>
      </c>
      <c r="D22" s="7" t="s">
        <v>6</v>
      </c>
      <c r="E22" s="8">
        <v>15</v>
      </c>
      <c r="F22" s="52">
        <f>610+3777+3777+99+99+64+64+222+222</f>
        <v>8934</v>
      </c>
      <c r="G22" s="51">
        <f t="shared" si="0"/>
        <v>11167.5</v>
      </c>
    </row>
    <row r="23" spans="1:7" ht="25.5">
      <c r="A23" s="44">
        <v>18</v>
      </c>
      <c r="B23" s="4" t="s">
        <v>38</v>
      </c>
      <c r="C23" s="6" t="s">
        <v>39</v>
      </c>
      <c r="D23" s="7" t="s">
        <v>6</v>
      </c>
      <c r="E23" s="8">
        <v>4</v>
      </c>
      <c r="F23" s="52">
        <f>0</f>
        <v>0</v>
      </c>
      <c r="G23" s="51">
        <f t="shared" si="0"/>
        <v>0</v>
      </c>
    </row>
    <row r="24" spans="1:7" ht="25.5">
      <c r="A24" s="44">
        <v>19</v>
      </c>
      <c r="B24" s="4" t="s">
        <v>40</v>
      </c>
      <c r="C24" s="6" t="s">
        <v>41</v>
      </c>
      <c r="D24" s="7" t="s">
        <v>6</v>
      </c>
      <c r="E24" s="8">
        <v>12</v>
      </c>
      <c r="F24" s="52">
        <f>1305+2169+62+62+69+69+2714+2714</f>
        <v>9164</v>
      </c>
      <c r="G24" s="51">
        <f t="shared" si="0"/>
        <v>11455</v>
      </c>
    </row>
    <row r="25" spans="1:7" ht="25.5">
      <c r="A25" s="44">
        <v>20</v>
      </c>
      <c r="B25" s="4" t="s">
        <v>42</v>
      </c>
      <c r="C25" s="6" t="s">
        <v>43</v>
      </c>
      <c r="D25" s="7" t="s">
        <v>6</v>
      </c>
      <c r="E25" s="8">
        <v>15</v>
      </c>
      <c r="F25" s="52">
        <f>0+2+2+1+1</f>
        <v>6</v>
      </c>
      <c r="G25" s="51">
        <f t="shared" si="0"/>
        <v>7.5</v>
      </c>
    </row>
    <row r="26" spans="1:7" ht="25.5">
      <c r="A26" s="44">
        <v>21</v>
      </c>
      <c r="B26" s="4" t="s">
        <v>44</v>
      </c>
      <c r="C26" s="6" t="s">
        <v>45</v>
      </c>
      <c r="D26" s="7" t="s">
        <v>6</v>
      </c>
      <c r="E26" s="8">
        <v>5</v>
      </c>
      <c r="F26" s="52">
        <f>763+457+607+607+396+396+138+138+142+142</f>
        <v>3786</v>
      </c>
      <c r="G26" s="51">
        <f t="shared" si="0"/>
        <v>4732.5</v>
      </c>
    </row>
    <row r="27" spans="1:7" ht="25.5">
      <c r="A27" s="44">
        <v>22</v>
      </c>
      <c r="B27" s="4" t="s">
        <v>46</v>
      </c>
      <c r="C27" s="6" t="s">
        <v>47</v>
      </c>
      <c r="D27" s="7" t="s">
        <v>6</v>
      </c>
      <c r="E27" s="8">
        <v>3</v>
      </c>
      <c r="F27" s="52">
        <f>577+348+528+528+420+420+240+240+207+207</f>
        <v>3715</v>
      </c>
      <c r="G27" s="51">
        <f t="shared" si="0"/>
        <v>4643.75</v>
      </c>
    </row>
    <row r="28" spans="1:7" ht="25.5">
      <c r="A28" s="44">
        <v>23</v>
      </c>
      <c r="B28" s="4" t="s">
        <v>49</v>
      </c>
      <c r="C28" s="6" t="s">
        <v>48</v>
      </c>
      <c r="D28" s="7" t="s">
        <v>6</v>
      </c>
      <c r="E28" s="8">
        <v>5</v>
      </c>
      <c r="F28" s="52">
        <f>3608+2110+3114+3114+2456+2456+1426+1426+1151+1151</f>
        <v>22012</v>
      </c>
      <c r="G28" s="51">
        <f t="shared" si="0"/>
        <v>27515</v>
      </c>
    </row>
    <row r="29" spans="1:7" ht="25.5">
      <c r="A29" s="44">
        <v>24</v>
      </c>
      <c r="B29" s="4" t="s">
        <v>50</v>
      </c>
      <c r="C29" s="6" t="s">
        <v>51</v>
      </c>
      <c r="D29" s="7" t="s">
        <v>6</v>
      </c>
      <c r="E29" s="8">
        <v>12</v>
      </c>
      <c r="F29" s="52">
        <f>221+214+276+276+355+355+750+750+92+92</f>
        <v>3381</v>
      </c>
      <c r="G29" s="51">
        <f t="shared" si="0"/>
        <v>4226.25</v>
      </c>
    </row>
    <row r="30" spans="1:7" ht="25.5">
      <c r="A30" s="44">
        <v>25</v>
      </c>
      <c r="B30" s="4" t="s">
        <v>52</v>
      </c>
      <c r="C30" s="6" t="s">
        <v>53</v>
      </c>
      <c r="D30" s="7" t="s">
        <v>9</v>
      </c>
      <c r="E30" s="8">
        <v>20</v>
      </c>
      <c r="F30" s="52">
        <f>1150+3074+1241+3317+1350+3693+5043+4682+4682+3614+3614+2168+2168+3214+3214</f>
        <v>46224</v>
      </c>
      <c r="G30" s="51">
        <f t="shared" si="0"/>
        <v>57780</v>
      </c>
    </row>
    <row r="31" spans="1:7">
      <c r="A31" s="44">
        <v>26</v>
      </c>
      <c r="B31" s="4" t="s">
        <v>54</v>
      </c>
      <c r="C31" s="6" t="s">
        <v>55</v>
      </c>
      <c r="D31" s="7" t="s">
        <v>9</v>
      </c>
      <c r="E31" s="8">
        <v>25</v>
      </c>
      <c r="F31" s="52">
        <f>1581+4109+1317+3518+4384+4384+3963+3969+2516+2516+9532+9532</f>
        <v>51321</v>
      </c>
      <c r="G31" s="51">
        <f t="shared" si="0"/>
        <v>64151.25</v>
      </c>
    </row>
    <row r="32" spans="1:7" ht="25.5">
      <c r="A32" s="44">
        <v>27</v>
      </c>
      <c r="B32" s="4" t="s">
        <v>56</v>
      </c>
      <c r="C32" s="6" t="s">
        <v>57</v>
      </c>
      <c r="D32" s="7" t="s">
        <v>9</v>
      </c>
      <c r="E32" s="8">
        <v>20</v>
      </c>
      <c r="F32" s="52">
        <f>137+373+129+156+463+156+463+127+313+440+424+424+292+292+327+327</f>
        <v>4843</v>
      </c>
      <c r="G32" s="51">
        <f t="shared" si="0"/>
        <v>6053.75</v>
      </c>
    </row>
    <row r="33" spans="1:7" ht="25.5">
      <c r="A33" s="44">
        <v>28</v>
      </c>
      <c r="B33" s="4" t="s">
        <v>58</v>
      </c>
      <c r="C33" s="6" t="s">
        <v>59</v>
      </c>
      <c r="D33" s="7" t="s">
        <v>9</v>
      </c>
      <c r="E33" s="8">
        <v>25</v>
      </c>
      <c r="F33" s="52">
        <f>2065+5470+1537+4628+1469+3384+4853+5915+5915+4635+4635+2854+2854+3860+3860</f>
        <v>57934</v>
      </c>
      <c r="G33" s="51">
        <f t="shared" si="0"/>
        <v>72417.5</v>
      </c>
    </row>
    <row r="34" spans="1:7" ht="25.5">
      <c r="A34" s="44">
        <v>29</v>
      </c>
      <c r="B34" s="4" t="s">
        <v>60</v>
      </c>
      <c r="C34" s="6" t="s">
        <v>61</v>
      </c>
      <c r="D34" s="7" t="s">
        <v>9</v>
      </c>
      <c r="E34" s="8">
        <v>7</v>
      </c>
      <c r="F34" s="52">
        <f>340+865+295+763+448+1300+448+1300+465+1176+1641+1266+1266+809+809+1096+1096</f>
        <v>15383</v>
      </c>
      <c r="G34" s="51">
        <f t="shared" si="0"/>
        <v>19228.75</v>
      </c>
    </row>
    <row r="35" spans="1:7" ht="25.5">
      <c r="A35" s="44">
        <v>30</v>
      </c>
      <c r="B35" s="4" t="s">
        <v>62</v>
      </c>
      <c r="C35" s="6" t="s">
        <v>63</v>
      </c>
      <c r="D35" s="7" t="s">
        <v>9</v>
      </c>
      <c r="E35" s="8">
        <v>40</v>
      </c>
      <c r="F35" s="52">
        <f>1701+4472+1215+3301+4390+4390+3571+3571+2370+2370+7612+7612</f>
        <v>46575</v>
      </c>
      <c r="G35" s="51">
        <f t="shared" si="0"/>
        <v>58218.75</v>
      </c>
    </row>
    <row r="36" spans="1:7" ht="25.5">
      <c r="A36" s="44">
        <v>31</v>
      </c>
      <c r="B36" s="4" t="s">
        <v>64</v>
      </c>
      <c r="C36" s="6" t="s">
        <v>65</v>
      </c>
      <c r="D36" s="7" t="s">
        <v>9</v>
      </c>
      <c r="E36" s="8">
        <v>10</v>
      </c>
      <c r="F36" s="52">
        <f>900+2340+616+1730+2404+2404+1927+1927+1110+1110+3916+3916</f>
        <v>24300</v>
      </c>
      <c r="G36" s="51">
        <f t="shared" si="0"/>
        <v>30375</v>
      </c>
    </row>
    <row r="37" spans="1:7" ht="25.5">
      <c r="A37" s="44">
        <v>32</v>
      </c>
      <c r="B37" s="4" t="s">
        <v>66</v>
      </c>
      <c r="C37" s="6" t="s">
        <v>67</v>
      </c>
      <c r="D37" s="7" t="s">
        <v>9</v>
      </c>
      <c r="E37" s="8">
        <v>3</v>
      </c>
      <c r="F37" s="52">
        <f>113+330+95+266+280+280+172+172+606+606</f>
        <v>2920</v>
      </c>
      <c r="G37" s="51">
        <f t="shared" si="0"/>
        <v>3650</v>
      </c>
    </row>
    <row r="38" spans="1:7" ht="25.5">
      <c r="A38" s="44">
        <v>33</v>
      </c>
      <c r="B38" s="4" t="s">
        <v>33</v>
      </c>
      <c r="C38" s="6" t="s">
        <v>68</v>
      </c>
      <c r="D38" s="7" t="s">
        <v>9</v>
      </c>
      <c r="E38" s="8">
        <v>5</v>
      </c>
      <c r="F38" s="52">
        <f>97+245+85+212+81+237+81+237+224+224+161+161+194+194</f>
        <v>2433</v>
      </c>
      <c r="G38" s="51">
        <f t="shared" si="0"/>
        <v>3041.25</v>
      </c>
    </row>
    <row r="39" spans="1:7" ht="25.5">
      <c r="A39" s="44">
        <v>34</v>
      </c>
      <c r="B39" s="4" t="s">
        <v>70</v>
      </c>
      <c r="C39" s="6" t="s">
        <v>69</v>
      </c>
      <c r="D39" s="7" t="s">
        <v>9</v>
      </c>
      <c r="E39" s="8">
        <v>20</v>
      </c>
      <c r="F39" s="52">
        <f>811+2083+625+1546+1151+1124+1124+3189+3189</f>
        <v>14842</v>
      </c>
      <c r="G39" s="51">
        <f t="shared" si="0"/>
        <v>18552.5</v>
      </c>
    </row>
    <row r="40" spans="1:7" ht="25.5">
      <c r="A40" s="44">
        <v>35</v>
      </c>
      <c r="B40" s="4" t="s">
        <v>70</v>
      </c>
      <c r="C40" s="6" t="s">
        <v>71</v>
      </c>
      <c r="D40" s="7" t="s">
        <v>9</v>
      </c>
      <c r="E40" s="8">
        <v>20</v>
      </c>
      <c r="F40" s="52">
        <f>782+2031+597+1537+110+1210+1210+897+897+3323+3323</f>
        <v>15917</v>
      </c>
      <c r="G40" s="51">
        <f t="shared" si="0"/>
        <v>19896.25</v>
      </c>
    </row>
    <row r="41" spans="1:7" ht="25.5">
      <c r="A41" s="44">
        <v>36</v>
      </c>
      <c r="B41" s="4" t="s">
        <v>73</v>
      </c>
      <c r="C41" s="6" t="s">
        <v>72</v>
      </c>
      <c r="D41" s="7" t="s">
        <v>6</v>
      </c>
      <c r="E41" s="8">
        <v>5</v>
      </c>
      <c r="F41" s="52">
        <f>38+735+487+464+464+596+596+428+428+278+278+285+285</f>
        <v>5362</v>
      </c>
      <c r="G41" s="51">
        <f t="shared" si="0"/>
        <v>6702.5</v>
      </c>
    </row>
    <row r="42" spans="1:7" ht="25.5">
      <c r="A42" s="44">
        <v>37</v>
      </c>
      <c r="B42" s="4" t="s">
        <v>74</v>
      </c>
      <c r="C42" s="6" t="s">
        <v>75</v>
      </c>
      <c r="D42" s="7" t="s">
        <v>9</v>
      </c>
      <c r="E42" s="8">
        <v>5</v>
      </c>
      <c r="F42" s="52">
        <f>415+1161+415+1089+381+1267+381+1267+1394+1394+857+857+1053+1053</f>
        <v>12984</v>
      </c>
      <c r="G42" s="51">
        <f t="shared" si="0"/>
        <v>16230</v>
      </c>
    </row>
    <row r="43" spans="1:7" ht="26.25">
      <c r="A43" s="44">
        <v>38</v>
      </c>
      <c r="B43" s="4" t="s">
        <v>76</v>
      </c>
      <c r="C43" s="10" t="s">
        <v>77</v>
      </c>
      <c r="D43" s="7" t="s">
        <v>9</v>
      </c>
      <c r="E43" s="8">
        <v>7</v>
      </c>
      <c r="F43" s="52">
        <f>580+1515+369+946+394+1136+394+1136+951+951+761+761+981+981</f>
        <v>11856</v>
      </c>
      <c r="G43" s="51">
        <f t="shared" si="0"/>
        <v>14820</v>
      </c>
    </row>
    <row r="44" spans="1:7" ht="25.5">
      <c r="A44" s="44">
        <v>39</v>
      </c>
      <c r="B44" s="4" t="s">
        <v>78</v>
      </c>
      <c r="C44" s="6" t="s">
        <v>79</v>
      </c>
      <c r="D44" s="7" t="s">
        <v>9</v>
      </c>
      <c r="E44" s="8">
        <v>5</v>
      </c>
      <c r="F44" s="52">
        <f>389+1003+317+907+811+811+558+558+2061+2061</f>
        <v>9476</v>
      </c>
      <c r="G44" s="51">
        <f t="shared" si="0"/>
        <v>11845</v>
      </c>
    </row>
    <row r="45" spans="1:7" ht="25.5">
      <c r="A45" s="44">
        <v>40</v>
      </c>
      <c r="B45" s="4" t="s">
        <v>34</v>
      </c>
      <c r="C45" s="6" t="s">
        <v>80</v>
      </c>
      <c r="D45" s="7" t="s">
        <v>9</v>
      </c>
      <c r="E45" s="8">
        <v>5</v>
      </c>
      <c r="F45" s="52">
        <f>251+673+174+451+459+459+216+216+1031+1031</f>
        <v>4961</v>
      </c>
      <c r="G45" s="51">
        <f t="shared" si="0"/>
        <v>6201.25</v>
      </c>
    </row>
    <row r="46" spans="1:7" ht="25.5">
      <c r="A46" s="44">
        <v>41</v>
      </c>
      <c r="B46" s="4" t="s">
        <v>33</v>
      </c>
      <c r="C46" s="6" t="s">
        <v>81</v>
      </c>
      <c r="D46" s="7" t="s">
        <v>9</v>
      </c>
      <c r="E46" s="8">
        <v>7</v>
      </c>
      <c r="F46" s="52">
        <f>151+1830+117+1479+137+1370+137+1370+869+869+587+587+811+811</f>
        <v>11125</v>
      </c>
      <c r="G46" s="51">
        <f t="shared" si="0"/>
        <v>13906.25</v>
      </c>
    </row>
    <row r="47" spans="1:7" ht="25.5">
      <c r="A47" s="44">
        <v>42</v>
      </c>
      <c r="B47" s="4" t="s">
        <v>33</v>
      </c>
      <c r="C47" s="6" t="s">
        <v>82</v>
      </c>
      <c r="D47" s="7" t="s">
        <v>9</v>
      </c>
      <c r="E47" s="8">
        <v>5</v>
      </c>
      <c r="F47" s="52">
        <f>413+1075+354+767+444+724+444+724+789+895+485+485+631+631</f>
        <v>8861</v>
      </c>
      <c r="G47" s="51">
        <f t="shared" si="0"/>
        <v>11076.25</v>
      </c>
    </row>
    <row r="48" spans="1:7" ht="25.5">
      <c r="A48" s="44">
        <v>43</v>
      </c>
      <c r="B48" s="4" t="s">
        <v>33</v>
      </c>
      <c r="C48" s="6" t="s">
        <v>83</v>
      </c>
      <c r="D48" s="7" t="s">
        <v>9</v>
      </c>
      <c r="E48" s="8">
        <v>5</v>
      </c>
      <c r="F48" s="52">
        <f>602+1584+483+1264+416+1264+416+1264+1155+1155+699+699+950+950</f>
        <v>12901</v>
      </c>
      <c r="G48" s="51">
        <f t="shared" si="0"/>
        <v>16126.249999999998</v>
      </c>
    </row>
    <row r="49" spans="1:7" ht="25.5">
      <c r="A49" s="44">
        <v>44</v>
      </c>
      <c r="B49" s="4" t="s">
        <v>84</v>
      </c>
      <c r="C49" s="6" t="s">
        <v>85</v>
      </c>
      <c r="D49" s="7" t="s">
        <v>9</v>
      </c>
      <c r="E49" s="8">
        <v>4</v>
      </c>
      <c r="F49" s="52">
        <f>171+120+157+107+369+369+278+278+689+689</f>
        <v>3227</v>
      </c>
      <c r="G49" s="51">
        <f t="shared" si="0"/>
        <v>4033.7500000000005</v>
      </c>
    </row>
    <row r="50" spans="1:7" ht="25.5">
      <c r="A50" s="44">
        <v>45</v>
      </c>
      <c r="B50" s="4" t="s">
        <v>84</v>
      </c>
      <c r="C50" s="6" t="s">
        <v>86</v>
      </c>
      <c r="D50" s="7" t="s">
        <v>9</v>
      </c>
      <c r="E50" s="8">
        <v>5</v>
      </c>
      <c r="F50" s="52">
        <f>43+224+30+164+304+304+181+181+613+613</f>
        <v>2657</v>
      </c>
      <c r="G50" s="51">
        <f t="shared" si="0"/>
        <v>3321.25</v>
      </c>
    </row>
    <row r="51" spans="1:7" ht="25.5">
      <c r="A51" s="44">
        <v>46</v>
      </c>
      <c r="B51" s="4" t="s">
        <v>84</v>
      </c>
      <c r="C51" s="6" t="s">
        <v>87</v>
      </c>
      <c r="D51" s="7" t="s">
        <v>9</v>
      </c>
      <c r="E51" s="8">
        <v>5</v>
      </c>
      <c r="F51" s="52">
        <f>134+96+161+110+291+411+279+279+840+840</f>
        <v>3441</v>
      </c>
      <c r="G51" s="51">
        <f t="shared" si="0"/>
        <v>4301.25</v>
      </c>
    </row>
    <row r="52" spans="1:7" ht="25.5">
      <c r="A52" s="44">
        <v>47</v>
      </c>
      <c r="B52" s="4" t="s">
        <v>88</v>
      </c>
      <c r="C52" s="6" t="s">
        <v>89</v>
      </c>
      <c r="D52" s="7" t="s">
        <v>9</v>
      </c>
      <c r="E52" s="8">
        <v>4</v>
      </c>
      <c r="F52" s="52">
        <f>9+22+4+4+3+3</f>
        <v>45</v>
      </c>
      <c r="G52" s="51">
        <f t="shared" si="0"/>
        <v>56.25</v>
      </c>
    </row>
    <row r="53" spans="1:7" ht="25.5">
      <c r="A53" s="44">
        <v>48</v>
      </c>
      <c r="B53" s="4" t="s">
        <v>90</v>
      </c>
      <c r="C53" s="6" t="s">
        <v>91</v>
      </c>
      <c r="D53" s="7" t="s">
        <v>9</v>
      </c>
      <c r="E53" s="8">
        <v>5</v>
      </c>
      <c r="F53" s="52">
        <f>777+2064+639+1592+583+2032+2615+817+1799+1241+1241+1581+1581</f>
        <v>18562</v>
      </c>
      <c r="G53" s="51">
        <f t="shared" si="0"/>
        <v>23202.5</v>
      </c>
    </row>
    <row r="54" spans="1:7" ht="25.5">
      <c r="A54" s="44">
        <v>49</v>
      </c>
      <c r="B54" s="4" t="s">
        <v>74</v>
      </c>
      <c r="C54" s="6" t="s">
        <v>92</v>
      </c>
      <c r="D54" s="7" t="s">
        <v>9</v>
      </c>
      <c r="E54" s="8">
        <v>7</v>
      </c>
      <c r="F54" s="52">
        <f>685+1914+540+1437+656+1505+656+1505+1660+1660+934+934+1314+1314</f>
        <v>16714</v>
      </c>
      <c r="G54" s="51">
        <f t="shared" si="0"/>
        <v>20892.5</v>
      </c>
    </row>
    <row r="55" spans="1:7" ht="25.5">
      <c r="A55" s="44">
        <v>50</v>
      </c>
      <c r="B55" s="4" t="s">
        <v>93</v>
      </c>
      <c r="C55" s="6" t="s">
        <v>94</v>
      </c>
      <c r="D55" s="7" t="s">
        <v>6</v>
      </c>
      <c r="E55" s="8">
        <v>2</v>
      </c>
      <c r="F55" s="52">
        <f>784+80+68+1082+291+291+203+203+506+506</f>
        <v>4014</v>
      </c>
      <c r="G55" s="51">
        <f t="shared" si="0"/>
        <v>5017.5</v>
      </c>
    </row>
    <row r="56" spans="1:7" ht="25.5">
      <c r="A56" s="44">
        <v>51</v>
      </c>
      <c r="B56" s="4" t="s">
        <v>95</v>
      </c>
      <c r="C56" s="6" t="s">
        <v>96</v>
      </c>
      <c r="D56" s="7" t="s">
        <v>6</v>
      </c>
      <c r="E56" s="8">
        <v>0.5</v>
      </c>
      <c r="F56" s="52">
        <f>411+26+539+92+92+41+41+209+209</f>
        <v>1660</v>
      </c>
      <c r="G56" s="51">
        <f t="shared" si="0"/>
        <v>2075</v>
      </c>
    </row>
    <row r="57" spans="1:7" ht="25.5">
      <c r="A57" s="44">
        <v>52</v>
      </c>
      <c r="B57" s="4" t="s">
        <v>170</v>
      </c>
      <c r="C57" s="6" t="s">
        <v>97</v>
      </c>
      <c r="D57" s="7" t="s">
        <v>9</v>
      </c>
      <c r="E57" s="8">
        <v>15</v>
      </c>
      <c r="F57" s="52">
        <f>393+160+1203+31147+594+1870+2464+1700+1700+1046+1046+3113+3113</f>
        <v>49549</v>
      </c>
      <c r="G57" s="51">
        <f t="shared" si="0"/>
        <v>61936.249999999993</v>
      </c>
    </row>
    <row r="58" spans="1:7" ht="25.5">
      <c r="A58" s="44">
        <v>53</v>
      </c>
      <c r="B58" s="4" t="s">
        <v>98</v>
      </c>
      <c r="C58" s="6" t="s">
        <v>99</v>
      </c>
      <c r="D58" s="7" t="s">
        <v>9</v>
      </c>
      <c r="E58" s="8">
        <v>15</v>
      </c>
      <c r="F58" s="52">
        <f>741+2033+200+2914+7460+200+4903+4903+3406+3406+2055+2055+6350+6350</f>
        <v>46976</v>
      </c>
      <c r="G58" s="51">
        <f t="shared" si="0"/>
        <v>58720</v>
      </c>
    </row>
    <row r="59" spans="1:7" ht="25.5">
      <c r="A59" s="44">
        <v>54</v>
      </c>
      <c r="B59" s="4" t="s">
        <v>22</v>
      </c>
      <c r="C59" s="6" t="s">
        <v>100</v>
      </c>
      <c r="D59" s="7" t="s">
        <v>6</v>
      </c>
      <c r="E59" s="8">
        <v>4</v>
      </c>
      <c r="F59" s="52">
        <f>431+1865+1188+1188+1067+1067+2661+2661</f>
        <v>12128</v>
      </c>
      <c r="G59" s="51">
        <f t="shared" si="0"/>
        <v>15160</v>
      </c>
    </row>
    <row r="60" spans="1:7" ht="25.5">
      <c r="A60" s="44">
        <v>55</v>
      </c>
      <c r="B60" s="4" t="s">
        <v>101</v>
      </c>
      <c r="C60" s="6" t="s">
        <v>102</v>
      </c>
      <c r="D60" s="7" t="s">
        <v>9</v>
      </c>
      <c r="E60" s="8">
        <v>15</v>
      </c>
      <c r="F60" s="52">
        <f>146+1199+268+4311+1760+1760+1263+1263+4435+4435</f>
        <v>20840</v>
      </c>
      <c r="G60" s="51">
        <f t="shared" si="0"/>
        <v>26050</v>
      </c>
    </row>
    <row r="61" spans="1:7" ht="25.5">
      <c r="A61" s="44">
        <v>56</v>
      </c>
      <c r="B61" s="4" t="s">
        <v>103</v>
      </c>
      <c r="C61" s="6" t="s">
        <v>104</v>
      </c>
      <c r="D61" s="7" t="s">
        <v>9</v>
      </c>
      <c r="E61" s="8">
        <v>5</v>
      </c>
      <c r="F61" s="52">
        <f>120+445+364+835+411+789+361+361+1128+1128</f>
        <v>5942</v>
      </c>
      <c r="G61" s="51">
        <f t="shared" si="0"/>
        <v>7427.5</v>
      </c>
    </row>
    <row r="62" spans="1:7" ht="25.5">
      <c r="A62" s="44">
        <v>57</v>
      </c>
      <c r="B62" s="4" t="s">
        <v>105</v>
      </c>
      <c r="C62" s="6" t="s">
        <v>106</v>
      </c>
      <c r="D62" s="7" t="s">
        <v>9</v>
      </c>
      <c r="E62" s="8">
        <v>7</v>
      </c>
      <c r="F62" s="52">
        <f>303+1341+1117+2344+1873+1873+1160+1160+3678+3678</f>
        <v>18527</v>
      </c>
      <c r="G62" s="51">
        <f t="shared" si="0"/>
        <v>23158.75</v>
      </c>
    </row>
    <row r="63" spans="1:7" ht="25.5">
      <c r="A63" s="44">
        <v>58</v>
      </c>
      <c r="B63" s="4" t="s">
        <v>107</v>
      </c>
      <c r="C63" s="6" t="s">
        <v>108</v>
      </c>
      <c r="D63" s="7" t="s">
        <v>9</v>
      </c>
      <c r="E63" s="8">
        <v>5</v>
      </c>
      <c r="F63" s="52">
        <f>185+588+600+1418+456+817+518+518+1993+1993</f>
        <v>9086</v>
      </c>
      <c r="G63" s="51">
        <f t="shared" si="0"/>
        <v>11357.5</v>
      </c>
    </row>
    <row r="64" spans="1:7" ht="54.75" customHeight="1">
      <c r="A64" s="44">
        <v>59</v>
      </c>
      <c r="B64" s="4" t="s">
        <v>109</v>
      </c>
      <c r="C64" s="6" t="s">
        <v>110</v>
      </c>
      <c r="D64" s="7" t="s">
        <v>9</v>
      </c>
      <c r="E64" s="7"/>
      <c r="F64" s="52">
        <f>94+321+190+517+432+423+430+430+412+412+501+501</f>
        <v>4663</v>
      </c>
      <c r="G64" s="51">
        <f t="shared" si="0"/>
        <v>5828.75</v>
      </c>
    </row>
    <row r="65" spans="1:7" ht="25.5">
      <c r="A65" s="44">
        <v>60</v>
      </c>
      <c r="B65" s="4" t="s">
        <v>111</v>
      </c>
      <c r="C65" s="6" t="s">
        <v>112</v>
      </c>
      <c r="D65" s="7" t="s">
        <v>9</v>
      </c>
      <c r="E65" s="8">
        <v>15</v>
      </c>
      <c r="F65" s="52">
        <f>812+2616+2643+7295+7399+7399+4484+4484+2789+2789+8736+8736</f>
        <v>60182</v>
      </c>
      <c r="G65" s="51">
        <f t="shared" si="0"/>
        <v>75227.5</v>
      </c>
    </row>
    <row r="66" spans="1:7" ht="25.5">
      <c r="A66" s="44">
        <v>61</v>
      </c>
      <c r="B66" s="4" t="s">
        <v>113</v>
      </c>
      <c r="C66" s="6" t="s">
        <v>114</v>
      </c>
      <c r="D66" s="7" t="s">
        <v>9</v>
      </c>
      <c r="E66" s="8">
        <v>4</v>
      </c>
      <c r="F66" s="52">
        <f>53+226+202+474+496+496+415+415+282+282+282+533+533</f>
        <v>4689</v>
      </c>
      <c r="G66" s="51">
        <f t="shared" si="0"/>
        <v>5861.25</v>
      </c>
    </row>
    <row r="67" spans="1:7" ht="25.5">
      <c r="A67" s="44">
        <v>62</v>
      </c>
      <c r="B67" s="4" t="s">
        <v>22</v>
      </c>
      <c r="C67" s="6" t="s">
        <v>115</v>
      </c>
      <c r="D67" s="7" t="s">
        <v>9</v>
      </c>
      <c r="E67" s="8">
        <v>15</v>
      </c>
      <c r="F67" s="52">
        <f>44+1916+2163+5118+4164+4164+3267+3267+1709+1709+7339+7339</f>
        <v>42199</v>
      </c>
      <c r="G67" s="51">
        <f t="shared" si="0"/>
        <v>52748.75</v>
      </c>
    </row>
    <row r="68" spans="1:7" ht="25.5">
      <c r="A68" s="44">
        <v>63</v>
      </c>
      <c r="B68" s="4" t="s">
        <v>116</v>
      </c>
      <c r="C68" s="6" t="s">
        <v>117</v>
      </c>
      <c r="D68" s="7" t="s">
        <v>9</v>
      </c>
      <c r="E68" s="8">
        <v>3</v>
      </c>
      <c r="F68" s="52">
        <f>83+353+303+679+1151+456+306+306+1040+1040</f>
        <v>5717</v>
      </c>
      <c r="G68" s="51">
        <f t="shared" si="0"/>
        <v>7146.25</v>
      </c>
    </row>
    <row r="69" spans="1:7" ht="25.5">
      <c r="A69" s="44">
        <v>64</v>
      </c>
      <c r="B69" s="4" t="s">
        <v>118</v>
      </c>
      <c r="C69" s="6" t="s">
        <v>119</v>
      </c>
      <c r="D69" s="7" t="s">
        <v>6</v>
      </c>
      <c r="E69" s="8">
        <v>1</v>
      </c>
      <c r="F69" s="52">
        <f>128+69+141+141+105+105+56+56+175+175</f>
        <v>1151</v>
      </c>
      <c r="G69" s="51">
        <f t="shared" si="0"/>
        <v>1438.75</v>
      </c>
    </row>
    <row r="70" spans="1:7" ht="25.5">
      <c r="A70" s="44">
        <v>65</v>
      </c>
      <c r="B70" s="4" t="s">
        <v>120</v>
      </c>
      <c r="C70" s="6" t="s">
        <v>121</v>
      </c>
      <c r="D70" s="7" t="s">
        <v>9</v>
      </c>
      <c r="E70" s="8">
        <v>40</v>
      </c>
      <c r="F70" s="52">
        <f>1679+4664+688+1741+5087+5087+3215+3215+2106+2106+6740+6740</f>
        <v>43068</v>
      </c>
      <c r="G70" s="51">
        <f t="shared" si="0"/>
        <v>53835</v>
      </c>
    </row>
    <row r="71" spans="1:7" ht="25.5">
      <c r="A71" s="44">
        <v>66</v>
      </c>
      <c r="B71" s="4" t="s">
        <v>122</v>
      </c>
      <c r="C71" s="6" t="s">
        <v>123</v>
      </c>
      <c r="D71" s="7" t="s">
        <v>9</v>
      </c>
      <c r="E71" s="8">
        <v>5</v>
      </c>
      <c r="F71" s="52">
        <f>578+1492+204+529+457+1347+1804+939+939+597+597+2199+2199</f>
        <v>13881</v>
      </c>
      <c r="G71" s="51">
        <f t="shared" ref="G71:G134" si="1">F71/12*15</f>
        <v>17351.25</v>
      </c>
    </row>
    <row r="72" spans="1:7" ht="25.5">
      <c r="A72" s="44">
        <v>67</v>
      </c>
      <c r="B72" s="4" t="s">
        <v>124</v>
      </c>
      <c r="C72" s="6" t="s">
        <v>125</v>
      </c>
      <c r="D72" s="7" t="s">
        <v>9</v>
      </c>
      <c r="E72" s="8">
        <v>31</v>
      </c>
      <c r="F72" s="52">
        <f>1360+3715+250+691+1755+100+150+4919+4919+2229+2229+1689+1689+5560+5560</f>
        <v>36815</v>
      </c>
      <c r="G72" s="51">
        <f t="shared" si="1"/>
        <v>46018.75</v>
      </c>
    </row>
    <row r="73" spans="1:7" ht="25.5">
      <c r="A73" s="44">
        <v>68</v>
      </c>
      <c r="B73" s="4" t="s">
        <v>126</v>
      </c>
      <c r="C73" s="6" t="s">
        <v>127</v>
      </c>
      <c r="D73" s="7" t="s">
        <v>9</v>
      </c>
      <c r="E73" s="8">
        <v>1</v>
      </c>
      <c r="F73" s="52">
        <f>68+52+24+15+75+75+47+47+22+22+111+111</f>
        <v>669</v>
      </c>
      <c r="G73" s="51">
        <f t="shared" si="1"/>
        <v>836.25</v>
      </c>
    </row>
    <row r="74" spans="1:7" ht="25.5">
      <c r="A74" s="44">
        <v>69</v>
      </c>
      <c r="B74" s="4" t="s">
        <v>128</v>
      </c>
      <c r="C74" s="6" t="s">
        <v>129</v>
      </c>
      <c r="D74" s="7" t="s">
        <v>9</v>
      </c>
      <c r="E74" s="8">
        <v>5</v>
      </c>
      <c r="F74" s="52">
        <f>457+1182+204+499+1200+1200+923+923+671+671+1938+1938</f>
        <v>11806</v>
      </c>
      <c r="G74" s="51">
        <f t="shared" si="1"/>
        <v>14757.5</v>
      </c>
    </row>
    <row r="75" spans="1:7" ht="25.5">
      <c r="A75" s="44">
        <v>70</v>
      </c>
      <c r="B75" s="4" t="s">
        <v>128</v>
      </c>
      <c r="C75" s="6" t="s">
        <v>130</v>
      </c>
      <c r="D75" s="7" t="s">
        <v>9</v>
      </c>
      <c r="E75" s="8">
        <v>5</v>
      </c>
      <c r="F75" s="52">
        <f>580+1550+240+600+1639+1639+1252+1252+775+775+2442+2442</f>
        <v>15186</v>
      </c>
      <c r="G75" s="51">
        <f t="shared" si="1"/>
        <v>18982.5</v>
      </c>
    </row>
    <row r="76" spans="1:7" ht="25.5">
      <c r="A76" s="44">
        <v>71</v>
      </c>
      <c r="B76" s="4" t="s">
        <v>131</v>
      </c>
      <c r="C76" s="6" t="s">
        <v>132</v>
      </c>
      <c r="D76" s="7" t="s">
        <v>9</v>
      </c>
      <c r="E76" s="8">
        <v>7</v>
      </c>
      <c r="F76" s="52">
        <f>304+804+113+274+702+702+542+542+435+435+1327+1327</f>
        <v>7507</v>
      </c>
      <c r="G76" s="51">
        <f t="shared" si="1"/>
        <v>9383.75</v>
      </c>
    </row>
    <row r="77" spans="1:7" ht="25.5">
      <c r="A77" s="44">
        <v>72</v>
      </c>
      <c r="B77" s="4" t="s">
        <v>131</v>
      </c>
      <c r="C77" s="6" t="s">
        <v>133</v>
      </c>
      <c r="D77" s="7" t="s">
        <v>9</v>
      </c>
      <c r="E77" s="8">
        <v>7</v>
      </c>
      <c r="F77" s="52">
        <f>1664+2141+629+744+2331+2331+1996+1996+1415+1415+4498+4498</f>
        <v>25658</v>
      </c>
      <c r="G77" s="51">
        <f t="shared" si="1"/>
        <v>32072.499999999996</v>
      </c>
    </row>
    <row r="78" spans="1:7" ht="25.5">
      <c r="A78" s="44">
        <v>73</v>
      </c>
      <c r="B78" s="4" t="s">
        <v>131</v>
      </c>
      <c r="C78" s="6" t="s">
        <v>134</v>
      </c>
      <c r="D78" s="7" t="s">
        <v>9</v>
      </c>
      <c r="E78" s="8">
        <v>7</v>
      </c>
      <c r="F78" s="52">
        <f>277+731+102+249+626+626+477+477+380+380+1118+1118</f>
        <v>6561</v>
      </c>
      <c r="G78" s="51">
        <f t="shared" si="1"/>
        <v>8201.25</v>
      </c>
    </row>
    <row r="79" spans="1:7" ht="25.5">
      <c r="A79" s="44">
        <v>74</v>
      </c>
      <c r="B79" s="4" t="s">
        <v>126</v>
      </c>
      <c r="C79" s="6" t="s">
        <v>135</v>
      </c>
      <c r="D79" s="7" t="s">
        <v>9</v>
      </c>
      <c r="E79" s="8">
        <v>7</v>
      </c>
      <c r="F79" s="52">
        <f>291+1183+109+410+1024+1024+780+780+254+254-254-254-254+254+1906+1906</f>
        <v>9413</v>
      </c>
      <c r="G79" s="51">
        <f t="shared" si="1"/>
        <v>11766.25</v>
      </c>
    </row>
    <row r="80" spans="1:7" ht="25.5">
      <c r="A80" s="44">
        <v>75</v>
      </c>
      <c r="B80" s="4" t="s">
        <v>136</v>
      </c>
      <c r="C80" s="6" t="s">
        <v>137</v>
      </c>
      <c r="D80" s="7" t="s">
        <v>9</v>
      </c>
      <c r="E80" s="8">
        <v>20</v>
      </c>
      <c r="F80" s="52">
        <f>1365+3641+445+1103+3221+3221+2316+2316+1684+1684+5276+5276</f>
        <v>31548</v>
      </c>
      <c r="G80" s="51">
        <f t="shared" si="1"/>
        <v>39435</v>
      </c>
    </row>
    <row r="81" spans="1:7" ht="25.5">
      <c r="A81" s="44">
        <v>76</v>
      </c>
      <c r="B81" s="4" t="s">
        <v>138</v>
      </c>
      <c r="C81" s="6" t="s">
        <v>139</v>
      </c>
      <c r="D81" s="7" t="s">
        <v>9</v>
      </c>
      <c r="E81" s="8">
        <v>5</v>
      </c>
      <c r="F81" s="52">
        <f>313+859+106+267+819+819+590+590+1511+1511</f>
        <v>7385</v>
      </c>
      <c r="G81" s="51">
        <f t="shared" si="1"/>
        <v>9231.25</v>
      </c>
    </row>
    <row r="82" spans="1:7" ht="25.5">
      <c r="A82" s="44">
        <v>77</v>
      </c>
      <c r="B82" s="4" t="s">
        <v>12</v>
      </c>
      <c r="C82" s="6" t="s">
        <v>140</v>
      </c>
      <c r="D82" s="7" t="s">
        <v>9</v>
      </c>
      <c r="E82" s="8">
        <v>7</v>
      </c>
      <c r="F82" s="52">
        <f>386+1028+138+341+948+948+767+767+2144+2144</f>
        <v>9611</v>
      </c>
      <c r="G82" s="51">
        <f t="shared" si="1"/>
        <v>12013.75</v>
      </c>
    </row>
    <row r="83" spans="1:7" ht="25.5">
      <c r="A83" s="44">
        <v>78</v>
      </c>
      <c r="B83" s="4" t="s">
        <v>141</v>
      </c>
      <c r="C83" s="6" t="s">
        <v>142</v>
      </c>
      <c r="D83" s="7" t="s">
        <v>9</v>
      </c>
      <c r="E83" s="8">
        <v>7</v>
      </c>
      <c r="F83" s="52">
        <f>610+1597+207+509+1415+1415+968+968+3246+3246</f>
        <v>14181</v>
      </c>
      <c r="G83" s="51">
        <f t="shared" si="1"/>
        <v>17726.25</v>
      </c>
    </row>
    <row r="84" spans="1:7" ht="25.5">
      <c r="A84" s="44">
        <v>79</v>
      </c>
      <c r="B84" s="4" t="s">
        <v>141</v>
      </c>
      <c r="C84" s="6" t="s">
        <v>143</v>
      </c>
      <c r="D84" s="7" t="s">
        <v>9</v>
      </c>
      <c r="E84" s="8">
        <v>5</v>
      </c>
      <c r="F84" s="52">
        <f>186+494+554+554+419+419+386+386+938+938+10+74</f>
        <v>5358</v>
      </c>
      <c r="G84" s="51">
        <f t="shared" si="1"/>
        <v>6697.5</v>
      </c>
    </row>
    <row r="85" spans="1:7" ht="25.5">
      <c r="A85" s="44">
        <v>80</v>
      </c>
      <c r="B85" s="4" t="s">
        <v>145</v>
      </c>
      <c r="C85" s="6" t="s">
        <v>144</v>
      </c>
      <c r="D85" s="7" t="s">
        <v>9</v>
      </c>
      <c r="E85" s="8">
        <v>5</v>
      </c>
      <c r="F85" s="52">
        <f>130+350+35+91+487+487+289+289+544+544</f>
        <v>3246</v>
      </c>
      <c r="G85" s="51">
        <f t="shared" si="1"/>
        <v>4057.5</v>
      </c>
    </row>
    <row r="86" spans="1:7" ht="25.5">
      <c r="A86" s="44">
        <v>81</v>
      </c>
      <c r="B86" s="4" t="s">
        <v>146</v>
      </c>
      <c r="C86" s="6" t="s">
        <v>147</v>
      </c>
      <c r="D86" s="7" t="s">
        <v>9</v>
      </c>
      <c r="E86" s="8">
        <v>5</v>
      </c>
      <c r="F86" s="52">
        <f>180+494+73+180+548+548+394+394+1119+1119</f>
        <v>5049</v>
      </c>
      <c r="G86" s="51">
        <f t="shared" si="1"/>
        <v>6311.25</v>
      </c>
    </row>
    <row r="87" spans="1:7" ht="25.5">
      <c r="A87" s="44">
        <v>82</v>
      </c>
      <c r="B87" s="4" t="s">
        <v>146</v>
      </c>
      <c r="C87" s="6" t="s">
        <v>148</v>
      </c>
      <c r="D87" s="7" t="s">
        <v>9</v>
      </c>
      <c r="E87" s="8">
        <v>5</v>
      </c>
      <c r="F87" s="52">
        <f>177+480+62+156+426+426+283+283+879+879</f>
        <v>4051</v>
      </c>
      <c r="G87" s="51">
        <f t="shared" si="1"/>
        <v>5063.75</v>
      </c>
    </row>
    <row r="88" spans="1:7" ht="26.25">
      <c r="A88" s="44">
        <v>83</v>
      </c>
      <c r="B88" s="4" t="s">
        <v>149</v>
      </c>
      <c r="C88" s="10" t="s">
        <v>226</v>
      </c>
      <c r="D88" s="7" t="s">
        <v>9</v>
      </c>
      <c r="E88" s="8">
        <v>5</v>
      </c>
      <c r="F88" s="52">
        <f>209+563+251+471+471+373+373+285+285+845+845</f>
        <v>4971</v>
      </c>
      <c r="G88" s="51">
        <f t="shared" si="1"/>
        <v>6213.75</v>
      </c>
    </row>
    <row r="89" spans="1:7" ht="25.5">
      <c r="A89" s="44">
        <v>84</v>
      </c>
      <c r="B89" s="4" t="s">
        <v>149</v>
      </c>
      <c r="C89" s="6" t="s">
        <v>150</v>
      </c>
      <c r="D89" s="7" t="s">
        <v>9</v>
      </c>
      <c r="E89" s="8">
        <v>7</v>
      </c>
      <c r="F89" s="52">
        <f>551+1497+279+699+1524+1524+1132+1132+3283+3283</f>
        <v>14904</v>
      </c>
      <c r="G89" s="51">
        <f t="shared" si="1"/>
        <v>18630</v>
      </c>
    </row>
    <row r="90" spans="1:7" ht="25.5">
      <c r="A90" s="44">
        <v>85</v>
      </c>
      <c r="B90" s="4" t="s">
        <v>151</v>
      </c>
      <c r="C90" s="6" t="s">
        <v>152</v>
      </c>
      <c r="D90" s="7" t="s">
        <v>9</v>
      </c>
      <c r="E90" s="8">
        <v>20</v>
      </c>
      <c r="F90" s="52">
        <f>752+2056+396+1004+370-458-1506+1964+1964+1444+1444+1126+1126+3449+3449</f>
        <v>18580</v>
      </c>
      <c r="G90" s="51">
        <f t="shared" si="1"/>
        <v>23225</v>
      </c>
    </row>
    <row r="91" spans="1:7" ht="25.5">
      <c r="A91" s="44">
        <v>86</v>
      </c>
      <c r="B91" s="4" t="s">
        <v>153</v>
      </c>
      <c r="C91" s="6" t="s">
        <v>154</v>
      </c>
      <c r="D91" s="7" t="s">
        <v>9</v>
      </c>
      <c r="E91" s="8">
        <v>5</v>
      </c>
      <c r="F91" s="52">
        <f>134+361+68+169+373+373+281+281+206+206+588+588</f>
        <v>3628</v>
      </c>
      <c r="G91" s="51">
        <f t="shared" si="1"/>
        <v>4535</v>
      </c>
    </row>
    <row r="92" spans="1:7" ht="25.5">
      <c r="A92" s="44">
        <v>87</v>
      </c>
      <c r="B92" s="4" t="s">
        <v>151</v>
      </c>
      <c r="C92" s="6" t="s">
        <v>155</v>
      </c>
      <c r="D92" s="7" t="s">
        <v>9</v>
      </c>
      <c r="E92" s="8">
        <v>7</v>
      </c>
      <c r="F92" s="52">
        <f>805+2182+425+1069+2529+2529+1683+1683+1289+1289+3861+3861</f>
        <v>23205</v>
      </c>
      <c r="G92" s="51">
        <f t="shared" si="1"/>
        <v>29006.25</v>
      </c>
    </row>
    <row r="93" spans="1:7" ht="25.5">
      <c r="A93" s="44">
        <v>88</v>
      </c>
      <c r="B93" s="4" t="s">
        <v>156</v>
      </c>
      <c r="C93" s="6" t="s">
        <v>157</v>
      </c>
      <c r="D93" s="7" t="s">
        <v>9</v>
      </c>
      <c r="E93" s="8">
        <v>7</v>
      </c>
      <c r="F93" s="52">
        <f>483+1287+241+597+289+1535+1535+26+26+1590+1590</f>
        <v>9199</v>
      </c>
      <c r="G93" s="51">
        <f t="shared" si="1"/>
        <v>11498.75</v>
      </c>
    </row>
    <row r="94" spans="1:7" ht="25.5">
      <c r="A94" s="44">
        <v>89</v>
      </c>
      <c r="B94" s="4" t="s">
        <v>163</v>
      </c>
      <c r="C94" s="6" t="s">
        <v>158</v>
      </c>
      <c r="D94" s="7" t="s">
        <v>6</v>
      </c>
      <c r="E94" s="8">
        <v>20</v>
      </c>
      <c r="F94" s="52">
        <f>693+307+608+608+481+481+348+348+988+988</f>
        <v>5850</v>
      </c>
      <c r="G94" s="51">
        <f t="shared" si="1"/>
        <v>7312.5</v>
      </c>
    </row>
    <row r="95" spans="1:7" ht="25.5">
      <c r="A95" s="44">
        <v>90</v>
      </c>
      <c r="B95" s="4" t="s">
        <v>159</v>
      </c>
      <c r="C95" s="6" t="s">
        <v>160</v>
      </c>
      <c r="D95" s="7" t="s">
        <v>9</v>
      </c>
      <c r="E95" s="8">
        <v>31</v>
      </c>
      <c r="F95" s="52">
        <f>3230+8966+350+1151+2907+350+7602+7602+4798+4798+3144+3144+9317+9317</f>
        <v>66676</v>
      </c>
      <c r="G95" s="51">
        <f t="shared" si="1"/>
        <v>83345</v>
      </c>
    </row>
    <row r="96" spans="1:7" ht="25.5">
      <c r="A96" s="44">
        <v>91</v>
      </c>
      <c r="B96" s="4" t="s">
        <v>161</v>
      </c>
      <c r="C96" s="6" t="s">
        <v>162</v>
      </c>
      <c r="D96" s="7" t="s">
        <v>6</v>
      </c>
      <c r="E96" s="8">
        <v>2</v>
      </c>
      <c r="F96" s="52">
        <f>1+1+1+1+1+1+26+26+2+2</f>
        <v>62</v>
      </c>
      <c r="G96" s="51">
        <f t="shared" si="1"/>
        <v>77.5</v>
      </c>
    </row>
    <row r="97" spans="1:7" ht="25.5">
      <c r="A97" s="44">
        <v>92</v>
      </c>
      <c r="B97" s="4" t="s">
        <v>163</v>
      </c>
      <c r="C97" s="6" t="s">
        <v>164</v>
      </c>
      <c r="D97" s="7" t="s">
        <v>9</v>
      </c>
      <c r="E97" s="8">
        <v>5</v>
      </c>
      <c r="F97" s="52">
        <f>51+728+20+279+665+665+441+441+242+242+869+869</f>
        <v>5512</v>
      </c>
      <c r="G97" s="51">
        <f t="shared" si="1"/>
        <v>6890</v>
      </c>
    </row>
    <row r="98" spans="1:7" ht="25.5">
      <c r="A98" s="44">
        <v>93</v>
      </c>
      <c r="B98" s="4" t="s">
        <v>165</v>
      </c>
      <c r="C98" s="6" t="s">
        <v>166</v>
      </c>
      <c r="D98" s="7" t="s">
        <v>6</v>
      </c>
      <c r="E98" s="8">
        <v>2</v>
      </c>
      <c r="F98" s="52">
        <f>253+103+90+90+58+58+37+37+114+114</f>
        <v>954</v>
      </c>
      <c r="G98" s="51">
        <f t="shared" si="1"/>
        <v>1192.5</v>
      </c>
    </row>
    <row r="99" spans="1:7" ht="52.5" customHeight="1">
      <c r="A99" s="44">
        <v>94</v>
      </c>
      <c r="B99" s="4" t="s">
        <v>167</v>
      </c>
      <c r="C99" s="11" t="s">
        <v>169</v>
      </c>
      <c r="D99" s="7" t="s">
        <v>168</v>
      </c>
      <c r="E99" s="7"/>
      <c r="F99" s="52">
        <f>4289+17711+54231+21165+17699+17699+113326+9756+9687</f>
        <v>265563</v>
      </c>
      <c r="G99" s="51">
        <f t="shared" si="1"/>
        <v>331953.75</v>
      </c>
    </row>
    <row r="100" spans="1:7" ht="51" customHeight="1">
      <c r="A100" s="44">
        <v>95</v>
      </c>
      <c r="B100" s="4" t="s">
        <v>171</v>
      </c>
      <c r="C100" s="12" t="s">
        <v>172</v>
      </c>
      <c r="D100" s="7" t="s">
        <v>6</v>
      </c>
      <c r="E100" s="8">
        <v>2</v>
      </c>
      <c r="F100" s="52">
        <f>5328+6+6+8+8+4+4+26</f>
        <v>5390</v>
      </c>
      <c r="G100" s="51">
        <f t="shared" si="1"/>
        <v>6737.5</v>
      </c>
    </row>
    <row r="101" spans="1:7" ht="25.5">
      <c r="A101" s="44">
        <v>96</v>
      </c>
      <c r="B101" s="4" t="s">
        <v>173</v>
      </c>
      <c r="C101" s="6" t="s">
        <v>174</v>
      </c>
      <c r="D101" s="7" t="s">
        <v>175</v>
      </c>
      <c r="E101" s="8">
        <v>12</v>
      </c>
      <c r="F101" s="52">
        <f>0+16+16+890+890+54+54</f>
        <v>1920</v>
      </c>
      <c r="G101" s="51">
        <f t="shared" si="1"/>
        <v>2400</v>
      </c>
    </row>
    <row r="102" spans="1:7" ht="25.5">
      <c r="A102" s="44">
        <v>97</v>
      </c>
      <c r="B102" s="4" t="s">
        <v>176</v>
      </c>
      <c r="C102" s="6" t="s">
        <v>177</v>
      </c>
      <c r="D102" s="7" t="s">
        <v>6</v>
      </c>
      <c r="E102" s="8">
        <v>5</v>
      </c>
      <c r="F102" s="52">
        <f>553+530+530+382+382+4614+4614</f>
        <v>11605</v>
      </c>
      <c r="G102" s="51">
        <f t="shared" si="1"/>
        <v>14506.25</v>
      </c>
    </row>
    <row r="103" spans="1:7" ht="25.5">
      <c r="A103" s="44">
        <v>98</v>
      </c>
      <c r="B103" s="4" t="s">
        <v>4</v>
      </c>
      <c r="C103" s="6" t="s">
        <v>178</v>
      </c>
      <c r="D103" s="7" t="s">
        <v>6</v>
      </c>
      <c r="E103" s="8">
        <v>20</v>
      </c>
      <c r="F103" s="52">
        <f>115+265+265+499+499+434+434+456+456</f>
        <v>3423</v>
      </c>
      <c r="G103" s="51">
        <f t="shared" si="1"/>
        <v>4278.75</v>
      </c>
    </row>
    <row r="104" spans="1:7" ht="25.5">
      <c r="A104" s="44">
        <v>99</v>
      </c>
      <c r="B104" s="4" t="s">
        <v>179</v>
      </c>
      <c r="C104" s="6" t="s">
        <v>180</v>
      </c>
      <c r="D104" s="7" t="s">
        <v>6</v>
      </c>
      <c r="E104" s="8">
        <v>6</v>
      </c>
      <c r="F104" s="52">
        <f>14+13+13+37+37+34+34+86+86</f>
        <v>354</v>
      </c>
      <c r="G104" s="51">
        <f t="shared" si="1"/>
        <v>442.5</v>
      </c>
    </row>
    <row r="105" spans="1:7" ht="38.25">
      <c r="A105" s="44">
        <v>100</v>
      </c>
      <c r="B105" s="4" t="s">
        <v>182</v>
      </c>
      <c r="C105" s="6" t="s">
        <v>181</v>
      </c>
      <c r="D105" s="7" t="s">
        <v>6</v>
      </c>
      <c r="E105" s="8">
        <v>13</v>
      </c>
      <c r="F105" s="52">
        <f>74+1969+1969+2552+2552+2045+2045+787+787</f>
        <v>14780</v>
      </c>
      <c r="G105" s="51">
        <f t="shared" si="1"/>
        <v>18475</v>
      </c>
    </row>
    <row r="106" spans="1:7" ht="38.25">
      <c r="A106" s="44">
        <v>101</v>
      </c>
      <c r="B106" s="4" t="s">
        <v>186</v>
      </c>
      <c r="C106" s="6" t="s">
        <v>183</v>
      </c>
      <c r="D106" s="7" t="s">
        <v>6</v>
      </c>
      <c r="E106" s="8">
        <v>6</v>
      </c>
      <c r="F106" s="52">
        <f>114+538+538+416+416+277+277+399+399</f>
        <v>3374</v>
      </c>
      <c r="G106" s="51">
        <f t="shared" si="1"/>
        <v>4217.5</v>
      </c>
    </row>
    <row r="107" spans="1:7" ht="38.25">
      <c r="A107" s="44">
        <v>102</v>
      </c>
      <c r="B107" s="4" t="s">
        <v>185</v>
      </c>
      <c r="C107" s="6" t="s">
        <v>184</v>
      </c>
      <c r="D107" s="7" t="s">
        <v>6</v>
      </c>
      <c r="E107" s="8">
        <v>3</v>
      </c>
      <c r="F107" s="52">
        <f>10+15+15+18+18+16+16+2+277</f>
        <v>387</v>
      </c>
      <c r="G107" s="51">
        <f t="shared" si="1"/>
        <v>483.75</v>
      </c>
    </row>
    <row r="108" spans="1:7" ht="38.25">
      <c r="A108" s="44">
        <v>103</v>
      </c>
      <c r="B108" s="4" t="s">
        <v>188</v>
      </c>
      <c r="C108" s="6" t="s">
        <v>187</v>
      </c>
      <c r="D108" s="7" t="s">
        <v>6</v>
      </c>
      <c r="E108" s="8">
        <v>2</v>
      </c>
      <c r="F108" s="52">
        <f>43+104+104+101+101+320+320</f>
        <v>1093</v>
      </c>
      <c r="G108" s="51">
        <f t="shared" si="1"/>
        <v>1366.25</v>
      </c>
    </row>
    <row r="109" spans="1:7" ht="25.5">
      <c r="A109" s="44">
        <v>104</v>
      </c>
      <c r="B109" s="4" t="s">
        <v>190</v>
      </c>
      <c r="C109" s="6" t="s">
        <v>189</v>
      </c>
      <c r="D109" s="7" t="s">
        <v>6</v>
      </c>
      <c r="E109" s="8">
        <v>2</v>
      </c>
      <c r="F109" s="52">
        <f>86+84+84+265+265</f>
        <v>784</v>
      </c>
      <c r="G109" s="51">
        <f t="shared" si="1"/>
        <v>979.99999999999989</v>
      </c>
    </row>
    <row r="110" spans="1:7" ht="25.5">
      <c r="A110" s="44">
        <v>105</v>
      </c>
      <c r="B110" s="4" t="s">
        <v>192</v>
      </c>
      <c r="C110" s="6" t="s">
        <v>191</v>
      </c>
      <c r="D110" s="7" t="s">
        <v>6</v>
      </c>
      <c r="E110" s="8">
        <v>5</v>
      </c>
      <c r="F110" s="52">
        <f>314+32+32+24+24+395+395</f>
        <v>1216</v>
      </c>
      <c r="G110" s="51">
        <f t="shared" si="1"/>
        <v>1520</v>
      </c>
    </row>
    <row r="111" spans="1:7" ht="38.25">
      <c r="A111" s="44">
        <v>106</v>
      </c>
      <c r="B111" s="4" t="s">
        <v>194</v>
      </c>
      <c r="C111" s="6" t="s">
        <v>193</v>
      </c>
      <c r="D111" s="7" t="s">
        <v>6</v>
      </c>
      <c r="E111" s="8">
        <v>2</v>
      </c>
      <c r="F111" s="52">
        <f>2509+90+90+53+53+1955+1955</f>
        <v>6705</v>
      </c>
      <c r="G111" s="51">
        <f t="shared" si="1"/>
        <v>8381.25</v>
      </c>
    </row>
    <row r="112" spans="1:7" ht="25.5">
      <c r="A112" s="44">
        <v>107</v>
      </c>
      <c r="B112" s="4" t="s">
        <v>196</v>
      </c>
      <c r="C112" s="6" t="s">
        <v>195</v>
      </c>
      <c r="D112" s="7" t="s">
        <v>6</v>
      </c>
      <c r="E112" s="8">
        <v>31</v>
      </c>
      <c r="F112" s="52">
        <f>1898+1243+1243+1779+1779+1731+1731</f>
        <v>11404</v>
      </c>
      <c r="G112" s="51">
        <f t="shared" si="1"/>
        <v>14255</v>
      </c>
    </row>
    <row r="113" spans="1:12" ht="25.5">
      <c r="A113" s="44">
        <v>108</v>
      </c>
      <c r="B113" s="4" t="s">
        <v>197</v>
      </c>
      <c r="C113" s="6" t="s">
        <v>198</v>
      </c>
      <c r="D113" s="7" t="s">
        <v>6</v>
      </c>
      <c r="E113" s="8">
        <v>15</v>
      </c>
      <c r="F113" s="52">
        <f>208+269+269+181+181+494+494</f>
        <v>2096</v>
      </c>
      <c r="G113" s="51">
        <f t="shared" si="1"/>
        <v>2620</v>
      </c>
    </row>
    <row r="114" spans="1:12" ht="25.5">
      <c r="A114" s="44">
        <v>109</v>
      </c>
      <c r="B114" s="4" t="s">
        <v>90</v>
      </c>
      <c r="C114" s="6" t="s">
        <v>199</v>
      </c>
      <c r="D114" s="7" t="s">
        <v>6</v>
      </c>
      <c r="E114" s="8"/>
      <c r="F114" s="52">
        <f>272+272+110+110+14+14+111+111</f>
        <v>1014</v>
      </c>
      <c r="G114" s="51">
        <f t="shared" si="1"/>
        <v>1267.5</v>
      </c>
    </row>
    <row r="115" spans="1:12" ht="25.5">
      <c r="A115" s="44">
        <v>110</v>
      </c>
      <c r="B115" s="4" t="s">
        <v>95</v>
      </c>
      <c r="C115" s="6" t="s">
        <v>200</v>
      </c>
      <c r="D115" s="7" t="s">
        <v>6</v>
      </c>
      <c r="E115" s="8"/>
      <c r="F115" s="52">
        <f>71+71+133+133+91+91+32+32</f>
        <v>654</v>
      </c>
      <c r="G115" s="51">
        <f t="shared" si="1"/>
        <v>817.5</v>
      </c>
    </row>
    <row r="116" spans="1:12" ht="25.5">
      <c r="A116" s="44">
        <v>111</v>
      </c>
      <c r="B116" s="4" t="s">
        <v>201</v>
      </c>
      <c r="C116" s="6" t="s">
        <v>202</v>
      </c>
      <c r="D116" s="7" t="s">
        <v>6</v>
      </c>
      <c r="E116" s="8"/>
      <c r="F116" s="52">
        <f>0</f>
        <v>0</v>
      </c>
      <c r="G116" s="51">
        <f t="shared" si="1"/>
        <v>0</v>
      </c>
    </row>
    <row r="117" spans="1:12" ht="25.5">
      <c r="A117" s="44">
        <v>112</v>
      </c>
      <c r="B117" s="4" t="s">
        <v>204</v>
      </c>
      <c r="C117" s="6" t="s">
        <v>203</v>
      </c>
      <c r="D117" s="7" t="s">
        <v>6</v>
      </c>
      <c r="E117" s="8"/>
      <c r="F117" s="52">
        <f>0+9+9+21+21+8+8</f>
        <v>76</v>
      </c>
      <c r="G117" s="51">
        <f t="shared" si="1"/>
        <v>95</v>
      </c>
    </row>
    <row r="118" spans="1:12" ht="38.25">
      <c r="A118" s="44">
        <v>113</v>
      </c>
      <c r="B118" s="4" t="s">
        <v>206</v>
      </c>
      <c r="C118" s="6" t="s">
        <v>205</v>
      </c>
      <c r="D118" s="7" t="s">
        <v>6</v>
      </c>
      <c r="E118" s="8"/>
      <c r="F118" s="52">
        <f>3498+3498+622+622+323+323+7736+7736</f>
        <v>24358</v>
      </c>
      <c r="G118" s="51">
        <f t="shared" si="1"/>
        <v>30447.5</v>
      </c>
    </row>
    <row r="119" spans="1:12" ht="38.25">
      <c r="A119" s="44">
        <v>114</v>
      </c>
      <c r="B119" s="4" t="s">
        <v>208</v>
      </c>
      <c r="C119" s="6" t="s">
        <v>207</v>
      </c>
      <c r="D119" s="7" t="s">
        <v>6</v>
      </c>
      <c r="E119" s="8"/>
      <c r="F119" s="52">
        <f>562+85</f>
        <v>647</v>
      </c>
      <c r="G119" s="51">
        <f t="shared" si="1"/>
        <v>808.75</v>
      </c>
    </row>
    <row r="120" spans="1:12" ht="50.25" customHeight="1">
      <c r="A120" s="44">
        <v>115</v>
      </c>
      <c r="B120" s="4" t="s">
        <v>210</v>
      </c>
      <c r="C120" s="6" t="s">
        <v>209</v>
      </c>
      <c r="D120" s="7" t="s">
        <v>6</v>
      </c>
      <c r="E120" s="7"/>
      <c r="F120" s="52">
        <f>0</f>
        <v>0</v>
      </c>
      <c r="G120" s="51">
        <f t="shared" si="1"/>
        <v>0</v>
      </c>
    </row>
    <row r="121" spans="1:12" ht="38.25">
      <c r="A121" s="44">
        <v>116</v>
      </c>
      <c r="B121" s="4" t="s">
        <v>212</v>
      </c>
      <c r="C121" s="6" t="s">
        <v>211</v>
      </c>
      <c r="D121" s="7" t="s">
        <v>6</v>
      </c>
      <c r="E121" s="7"/>
      <c r="F121" s="52">
        <f>5+5+6+6</f>
        <v>22</v>
      </c>
      <c r="G121" s="51">
        <f t="shared" si="1"/>
        <v>27.5</v>
      </c>
    </row>
    <row r="122" spans="1:12" ht="38.25">
      <c r="A122" s="44">
        <v>117</v>
      </c>
      <c r="B122" s="4" t="s">
        <v>214</v>
      </c>
      <c r="C122" s="6" t="s">
        <v>213</v>
      </c>
      <c r="D122" s="7" t="s">
        <v>6</v>
      </c>
      <c r="E122" s="7"/>
      <c r="F122" s="52">
        <f>59+59+247+247+3840+3840</f>
        <v>8292</v>
      </c>
      <c r="G122" s="51">
        <f t="shared" si="1"/>
        <v>10365</v>
      </c>
    </row>
    <row r="123" spans="1:12" ht="25.5">
      <c r="A123" s="44">
        <v>118</v>
      </c>
      <c r="B123" s="4" t="s">
        <v>216</v>
      </c>
      <c r="C123" s="6" t="s">
        <v>215</v>
      </c>
      <c r="D123" s="7" t="s">
        <v>6</v>
      </c>
      <c r="E123" s="7"/>
      <c r="F123" s="52">
        <f>16+16+92</f>
        <v>124</v>
      </c>
      <c r="G123" s="51">
        <f t="shared" si="1"/>
        <v>155</v>
      </c>
    </row>
    <row r="124" spans="1:12" ht="38.25">
      <c r="A124" s="44">
        <v>119</v>
      </c>
      <c r="B124" s="4" t="s">
        <v>218</v>
      </c>
      <c r="C124" s="6" t="s">
        <v>217</v>
      </c>
      <c r="D124" s="7" t="s">
        <v>6</v>
      </c>
      <c r="E124" s="7"/>
      <c r="F124" s="52">
        <f>110+110+149+149</f>
        <v>518</v>
      </c>
      <c r="G124" s="51">
        <f t="shared" si="1"/>
        <v>647.5</v>
      </c>
    </row>
    <row r="125" spans="1:12" ht="25.5">
      <c r="A125" s="44">
        <v>120</v>
      </c>
      <c r="B125" s="4" t="s">
        <v>4</v>
      </c>
      <c r="C125" s="6" t="s">
        <v>219</v>
      </c>
      <c r="D125" s="7" t="s">
        <v>6</v>
      </c>
      <c r="E125" s="7"/>
      <c r="F125" s="52">
        <f>0</f>
        <v>0</v>
      </c>
      <c r="G125" s="51">
        <f t="shared" si="1"/>
        <v>0</v>
      </c>
    </row>
    <row r="126" spans="1:12" ht="38.25">
      <c r="A126" s="44">
        <v>121</v>
      </c>
      <c r="B126" s="16" t="s">
        <v>224</v>
      </c>
      <c r="C126" s="13" t="s">
        <v>225</v>
      </c>
      <c r="D126" s="15" t="s">
        <v>227</v>
      </c>
      <c r="E126" s="14">
        <v>49</v>
      </c>
      <c r="F126" s="53">
        <v>12665</v>
      </c>
      <c r="G126" s="51">
        <f t="shared" si="1"/>
        <v>15831.250000000002</v>
      </c>
    </row>
    <row r="127" spans="1:12" ht="46.5" customHeight="1" thickBot="1">
      <c r="A127" s="44">
        <v>122</v>
      </c>
      <c r="B127" s="17" t="s">
        <v>222</v>
      </c>
      <c r="C127" s="18" t="s">
        <v>223</v>
      </c>
      <c r="D127" s="19" t="s">
        <v>228</v>
      </c>
      <c r="E127" s="33">
        <v>10</v>
      </c>
      <c r="F127" s="54">
        <v>392</v>
      </c>
      <c r="G127" s="51">
        <f t="shared" si="1"/>
        <v>489.99999999999994</v>
      </c>
    </row>
    <row r="128" spans="1:12" s="38" customFormat="1" ht="13.5" thickBot="1">
      <c r="A128" s="43" t="s">
        <v>229</v>
      </c>
      <c r="B128" s="21"/>
      <c r="C128" s="22"/>
      <c r="D128" s="22"/>
      <c r="E128" s="39"/>
      <c r="F128" s="55">
        <f>SUM(F6:F127)</f>
        <v>1833527.3333333335</v>
      </c>
      <c r="G128" s="51">
        <f>SUM(G6:G127)</f>
        <v>2291909.1666666665</v>
      </c>
      <c r="H128" s="37"/>
      <c r="I128" s="37"/>
      <c r="J128" s="37"/>
      <c r="K128" s="37"/>
      <c r="L128" s="37"/>
    </row>
    <row r="129" spans="1:15">
      <c r="A129" s="23" t="s">
        <v>248</v>
      </c>
      <c r="G129" s="51"/>
    </row>
    <row r="130" spans="1:15" ht="39">
      <c r="A130" s="25">
        <v>1</v>
      </c>
      <c r="B130" s="26" t="s">
        <v>230</v>
      </c>
      <c r="C130" s="27" t="s">
        <v>231</v>
      </c>
      <c r="D130" s="28" t="s">
        <v>227</v>
      </c>
      <c r="E130" s="14">
        <v>63</v>
      </c>
      <c r="F130" s="56">
        <v>61449</v>
      </c>
      <c r="G130" s="51">
        <f t="shared" si="1"/>
        <v>76811.25</v>
      </c>
      <c r="N130" s="48"/>
    </row>
    <row r="131" spans="1:15" ht="38.25">
      <c r="A131" s="25">
        <v>2</v>
      </c>
      <c r="B131" s="26" t="s">
        <v>232</v>
      </c>
      <c r="C131" s="27" t="s">
        <v>233</v>
      </c>
      <c r="D131" s="29" t="s">
        <v>6</v>
      </c>
      <c r="E131" s="14">
        <v>25</v>
      </c>
      <c r="F131" s="56">
        <v>35639</v>
      </c>
      <c r="G131" s="51">
        <f t="shared" si="1"/>
        <v>44548.75</v>
      </c>
    </row>
    <row r="132" spans="1:15" ht="51">
      <c r="A132" s="25">
        <v>3</v>
      </c>
      <c r="B132" s="30" t="s">
        <v>234</v>
      </c>
      <c r="C132" s="27" t="s">
        <v>235</v>
      </c>
      <c r="D132" s="29" t="s">
        <v>6</v>
      </c>
      <c r="E132" s="14">
        <v>20</v>
      </c>
      <c r="F132" s="56">
        <v>20800</v>
      </c>
      <c r="G132" s="51">
        <f t="shared" si="1"/>
        <v>26000</v>
      </c>
    </row>
    <row r="133" spans="1:15" ht="51">
      <c r="A133" s="25">
        <v>4</v>
      </c>
      <c r="B133" s="26" t="s">
        <v>236</v>
      </c>
      <c r="C133" s="27" t="s">
        <v>237</v>
      </c>
      <c r="D133" s="29" t="s">
        <v>6</v>
      </c>
      <c r="E133" s="14">
        <v>40</v>
      </c>
      <c r="F133" s="56">
        <v>22138</v>
      </c>
      <c r="G133" s="51">
        <f t="shared" si="1"/>
        <v>27672.5</v>
      </c>
    </row>
    <row r="134" spans="1:15" ht="51">
      <c r="A134" s="25">
        <v>5</v>
      </c>
      <c r="B134" s="26" t="s">
        <v>238</v>
      </c>
      <c r="C134" s="27" t="s">
        <v>239</v>
      </c>
      <c r="D134" s="28" t="s">
        <v>227</v>
      </c>
      <c r="E134" s="14">
        <v>63</v>
      </c>
      <c r="F134" s="56">
        <v>58403</v>
      </c>
      <c r="G134" s="51">
        <f t="shared" si="1"/>
        <v>73003.75</v>
      </c>
    </row>
    <row r="135" spans="1:15" ht="51">
      <c r="A135" s="25">
        <v>6</v>
      </c>
      <c r="B135" s="31" t="s">
        <v>240</v>
      </c>
      <c r="C135" s="13" t="s">
        <v>241</v>
      </c>
      <c r="D135" s="32" t="s">
        <v>6</v>
      </c>
      <c r="E135" s="33">
        <v>40</v>
      </c>
      <c r="F135" s="56">
        <v>25214</v>
      </c>
      <c r="G135" s="51">
        <f t="shared" ref="G135:G147" si="2">F135/12*15</f>
        <v>31517.499999999996</v>
      </c>
    </row>
    <row r="136" spans="1:15" ht="63.75">
      <c r="A136" s="25">
        <v>7</v>
      </c>
      <c r="B136" s="30" t="s">
        <v>242</v>
      </c>
      <c r="C136" s="27" t="s">
        <v>243</v>
      </c>
      <c r="D136" s="29" t="s">
        <v>6</v>
      </c>
      <c r="E136" s="14">
        <v>25</v>
      </c>
      <c r="F136" s="56">
        <v>26219</v>
      </c>
      <c r="G136" s="51">
        <f t="shared" si="2"/>
        <v>32773.75</v>
      </c>
    </row>
    <row r="137" spans="1:15" ht="63.75">
      <c r="A137" s="25">
        <v>8</v>
      </c>
      <c r="B137" s="35" t="s">
        <v>244</v>
      </c>
      <c r="C137" s="36" t="s">
        <v>245</v>
      </c>
      <c r="D137" s="15" t="s">
        <v>6</v>
      </c>
      <c r="E137" s="33">
        <v>12.5</v>
      </c>
      <c r="F137" s="57">
        <v>7848</v>
      </c>
      <c r="G137" s="51">
        <f t="shared" si="2"/>
        <v>9810</v>
      </c>
    </row>
    <row r="138" spans="1:15" ht="39" thickBot="1">
      <c r="A138" s="25">
        <v>9</v>
      </c>
      <c r="B138" s="40" t="s">
        <v>246</v>
      </c>
      <c r="C138" s="36" t="s">
        <v>247</v>
      </c>
      <c r="D138" s="15" t="s">
        <v>6</v>
      </c>
      <c r="E138" s="33">
        <v>15</v>
      </c>
      <c r="F138" s="57">
        <v>75</v>
      </c>
      <c r="G138" s="51">
        <f t="shared" si="2"/>
        <v>93.75</v>
      </c>
    </row>
    <row r="139" spans="1:15" ht="15.75" thickBot="1">
      <c r="A139" s="20" t="s">
        <v>229</v>
      </c>
      <c r="B139" s="22"/>
      <c r="C139" s="22"/>
      <c r="D139" s="22"/>
      <c r="E139" s="22"/>
      <c r="F139" s="58">
        <f>SUM(F130:F138)</f>
        <v>257785</v>
      </c>
      <c r="G139" s="51">
        <f>SUM(G130:G138)</f>
        <v>322231.25</v>
      </c>
      <c r="N139" s="48"/>
      <c r="O139" s="38"/>
    </row>
    <row r="140" spans="1:15">
      <c r="A140" s="23" t="s">
        <v>263</v>
      </c>
      <c r="G140" s="51"/>
    </row>
    <row r="141" spans="1:15" ht="51">
      <c r="A141" s="25">
        <v>1</v>
      </c>
      <c r="B141" s="30" t="s">
        <v>250</v>
      </c>
      <c r="C141" s="27" t="s">
        <v>251</v>
      </c>
      <c r="D141" s="28" t="s">
        <v>228</v>
      </c>
      <c r="E141" s="14">
        <v>33</v>
      </c>
      <c r="F141" s="49">
        <v>3866</v>
      </c>
      <c r="G141" s="51">
        <f t="shared" si="2"/>
        <v>4832.5</v>
      </c>
    </row>
    <row r="142" spans="1:15" ht="38.25">
      <c r="A142" s="25">
        <v>2</v>
      </c>
      <c r="B142" s="30" t="s">
        <v>252</v>
      </c>
      <c r="C142" s="27" t="s">
        <v>253</v>
      </c>
      <c r="D142" s="29" t="s">
        <v>6</v>
      </c>
      <c r="E142" s="14">
        <v>31</v>
      </c>
      <c r="F142" s="49">
        <v>14650</v>
      </c>
      <c r="G142" s="51">
        <f t="shared" si="2"/>
        <v>18312.5</v>
      </c>
      <c r="M142" s="42"/>
    </row>
    <row r="143" spans="1:15" ht="25.5">
      <c r="A143" s="25">
        <v>3</v>
      </c>
      <c r="B143" s="30" t="s">
        <v>254</v>
      </c>
      <c r="C143" s="27" t="s">
        <v>255</v>
      </c>
      <c r="D143" s="29" t="s">
        <v>6</v>
      </c>
      <c r="E143" s="14">
        <v>40</v>
      </c>
      <c r="F143" s="49">
        <v>580</v>
      </c>
      <c r="G143" s="51">
        <f t="shared" si="2"/>
        <v>725</v>
      </c>
    </row>
    <row r="144" spans="1:15" ht="51">
      <c r="A144" s="25">
        <v>4</v>
      </c>
      <c r="B144" s="30" t="s">
        <v>256</v>
      </c>
      <c r="C144" s="27" t="s">
        <v>257</v>
      </c>
      <c r="D144" s="28" t="s">
        <v>228</v>
      </c>
      <c r="E144" s="14">
        <v>5</v>
      </c>
      <c r="F144" s="49">
        <v>1150</v>
      </c>
      <c r="G144" s="51">
        <f t="shared" si="2"/>
        <v>1437.5</v>
      </c>
    </row>
    <row r="145" spans="1:15" ht="25.5">
      <c r="A145" s="25">
        <v>5</v>
      </c>
      <c r="B145" s="30" t="s">
        <v>258</v>
      </c>
      <c r="C145" s="27" t="s">
        <v>226</v>
      </c>
      <c r="D145" s="28" t="s">
        <v>228</v>
      </c>
      <c r="E145" s="14">
        <v>5</v>
      </c>
      <c r="F145" s="49">
        <v>10430</v>
      </c>
      <c r="G145" s="51">
        <f t="shared" si="2"/>
        <v>13037.5</v>
      </c>
    </row>
    <row r="146" spans="1:15" ht="38.25">
      <c r="A146" s="25">
        <v>6</v>
      </c>
      <c r="B146" s="30" t="s">
        <v>259</v>
      </c>
      <c r="C146" s="27" t="s">
        <v>260</v>
      </c>
      <c r="D146" s="41" t="s">
        <v>228</v>
      </c>
      <c r="E146" s="33">
        <v>5</v>
      </c>
      <c r="F146" s="49">
        <v>7560</v>
      </c>
      <c r="G146" s="51">
        <f t="shared" si="2"/>
        <v>9450</v>
      </c>
    </row>
    <row r="147" spans="1:15" ht="38.25">
      <c r="A147" s="34">
        <v>7</v>
      </c>
      <c r="B147" s="35" t="s">
        <v>261</v>
      </c>
      <c r="C147" s="36" t="s">
        <v>262</v>
      </c>
      <c r="D147" s="41" t="s">
        <v>228</v>
      </c>
      <c r="E147" s="33">
        <v>13.5</v>
      </c>
      <c r="F147" s="50">
        <v>5370</v>
      </c>
      <c r="G147" s="59">
        <f t="shared" si="2"/>
        <v>6712.5</v>
      </c>
    </row>
    <row r="148" spans="1:15">
      <c r="A148" s="60" t="s">
        <v>229</v>
      </c>
      <c r="B148" s="61"/>
      <c r="C148" s="61"/>
      <c r="D148" s="61"/>
      <c r="E148" s="61"/>
      <c r="F148" s="62">
        <f>SUM(F141:F147)</f>
        <v>43606</v>
      </c>
      <c r="G148" s="51">
        <f>SUM(G141:G147)</f>
        <v>54507.5</v>
      </c>
      <c r="N148" s="46"/>
      <c r="O148" s="38"/>
    </row>
    <row r="149" spans="1:15">
      <c r="A149" s="44" t="s">
        <v>266</v>
      </c>
      <c r="B149" s="6"/>
      <c r="C149" s="7"/>
      <c r="D149" s="7"/>
      <c r="E149" s="9"/>
      <c r="F149" s="51">
        <f>F128+F139+F148</f>
        <v>2134918.3333333335</v>
      </c>
      <c r="G149" s="51">
        <f>G128+G139+G148</f>
        <v>2668647.9166666665</v>
      </c>
      <c r="K149" s="47"/>
    </row>
    <row r="150" spans="1:15" ht="15">
      <c r="N150" s="48"/>
    </row>
  </sheetData>
  <phoneticPr fontId="0" type="noConversion"/>
  <pageMargins left="0.75" right="0.75" top="1" bottom="1" header="0.5" footer="0.5"/>
  <pageSetup paperSize="9" scale="61" orientation="portrait" r:id="rId1"/>
  <headerFooter alignWithMargins="0"/>
  <rowBreaks count="1" manualBreakCount="1">
    <brk id="12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sylglo</cp:lastModifiedBy>
  <cp:lastPrinted>2014-08-28T11:19:26Z</cp:lastPrinted>
  <dcterms:created xsi:type="dcterms:W3CDTF">1997-02-26T13:46:56Z</dcterms:created>
  <dcterms:modified xsi:type="dcterms:W3CDTF">2014-09-02T06:53:17Z</dcterms:modified>
</cp:coreProperties>
</file>